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9CE0B04-1614-4C45-9E48-BC5B4063434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arifas" sheetId="1" r:id="rId1"/>
    <sheet name="PISR" sheetId="2" r:id="rId2"/>
    <sheet name="IVA " sheetId="3" r:id="rId3"/>
    <sheet name="Resumen " sheetId="7" r:id="rId4"/>
    <sheet name="Control IVA a Favor" sheetId="5" state="hidden" r:id="rId5"/>
    <sheet name="Impuesto a pagar  por mes " sheetId="6" state="hidden" r:id="rId6"/>
  </sheets>
  <definedNames>
    <definedName name="Abril">Tarifas!$P$1:$S$14</definedName>
    <definedName name="Agosto">Tarifas!$P$16:$S$29</definedName>
    <definedName name="Diciembre">Tarifas!$P$31:$S$44</definedName>
    <definedName name="Enero">Tarifas!$A$1:$D$14</definedName>
    <definedName name="Febrero">Tarifas!$F$1:$I$14</definedName>
    <definedName name="Julio">Tarifas!$K$16:$N$29</definedName>
    <definedName name="Junio">Tarifas!$F$16:$I$29</definedName>
    <definedName name="Marzo">Tarifas!$K$1:$N$14</definedName>
    <definedName name="Mayo">Tarifas!$A$16:$D$29</definedName>
    <definedName name="Noviembre">Tarifas!$K$31:$N$44</definedName>
    <definedName name="Octubre">Tarifas!$F$31:$I$44</definedName>
    <definedName name="PISR">#REF!</definedName>
    <definedName name="Septiembre">Tarifas!$A$31:$D$44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D14" i="1"/>
  <c r="D13" i="1"/>
  <c r="D12" i="1"/>
  <c r="D11" i="1"/>
  <c r="D10" i="1"/>
  <c r="D9" i="1"/>
  <c r="D8" i="1"/>
  <c r="D7" i="1"/>
  <c r="D6" i="1"/>
  <c r="D5" i="1"/>
  <c r="D4" i="1"/>
  <c r="S9" i="3"/>
  <c r="Y4" i="2"/>
  <c r="F16" i="3"/>
  <c r="E63" i="2"/>
  <c r="D63" i="2"/>
  <c r="D43" i="2"/>
  <c r="C43" i="2" l="1"/>
  <c r="H43" i="2"/>
  <c r="G43" i="2"/>
  <c r="F43" i="2"/>
  <c r="E43" i="2"/>
  <c r="J11" i="3" l="1"/>
  <c r="R30" i="1"/>
  <c r="Y13" i="2" l="1"/>
  <c r="P20" i="5" l="1"/>
  <c r="N20" i="5"/>
  <c r="M20" i="5"/>
  <c r="L20" i="5"/>
  <c r="Q19" i="5"/>
  <c r="Q18" i="5"/>
  <c r="Q17" i="5"/>
  <c r="Q16" i="5"/>
  <c r="Q15" i="5"/>
  <c r="N16" i="3"/>
  <c r="M16" i="3"/>
  <c r="L16" i="3"/>
  <c r="K16" i="3"/>
  <c r="J16" i="3"/>
  <c r="I16" i="3"/>
  <c r="H16" i="3"/>
  <c r="D13" i="5" s="1"/>
  <c r="Q13" i="5" s="1"/>
  <c r="G16" i="3"/>
  <c r="D12" i="5" s="1"/>
  <c r="D11" i="5"/>
  <c r="Q11" i="5" s="1"/>
  <c r="E16" i="3"/>
  <c r="D10" i="5" s="1"/>
  <c r="Q10" i="5" s="1"/>
  <c r="D16" i="3"/>
  <c r="C16" i="3"/>
  <c r="N11" i="3"/>
  <c r="N14" i="3" s="1"/>
  <c r="M11" i="3"/>
  <c r="M14" i="3" s="1"/>
  <c r="L11" i="3"/>
  <c r="L14" i="3" s="1"/>
  <c r="K6" i="7" s="1"/>
  <c r="K11" i="3"/>
  <c r="K14" i="3" s="1"/>
  <c r="J14" i="3"/>
  <c r="I11" i="3"/>
  <c r="I14" i="3" s="1"/>
  <c r="H11" i="3"/>
  <c r="H14" i="3" s="1"/>
  <c r="G11" i="3"/>
  <c r="F11" i="3"/>
  <c r="F14" i="3" s="1"/>
  <c r="E11" i="3"/>
  <c r="D11" i="3"/>
  <c r="C11" i="3"/>
  <c r="C14" i="3" s="1"/>
  <c r="B6" i="7" s="1"/>
  <c r="P45" i="2"/>
  <c r="Q43" i="2"/>
  <c r="N43" i="2"/>
  <c r="M43" i="2"/>
  <c r="L43" i="2"/>
  <c r="K43" i="2"/>
  <c r="J43" i="2"/>
  <c r="I43" i="2"/>
  <c r="R42" i="2"/>
  <c r="Q42" i="2"/>
  <c r="P42" i="2"/>
  <c r="R41" i="2"/>
  <c r="Q41" i="2"/>
  <c r="P41" i="2"/>
  <c r="R40" i="2"/>
  <c r="Q40" i="2"/>
  <c r="P40" i="2"/>
  <c r="R39" i="2"/>
  <c r="Q39" i="2"/>
  <c r="P39" i="2"/>
  <c r="R38" i="2"/>
  <c r="Q38" i="2"/>
  <c r="P38" i="2"/>
  <c r="R37" i="2"/>
  <c r="Q37" i="2"/>
  <c r="P37" i="2"/>
  <c r="R36" i="2"/>
  <c r="Q36" i="2"/>
  <c r="P36" i="2"/>
  <c r="R35" i="2"/>
  <c r="Q35" i="2"/>
  <c r="P35" i="2"/>
  <c r="R34" i="2"/>
  <c r="Q34" i="2"/>
  <c r="P34" i="2"/>
  <c r="R33" i="2"/>
  <c r="Q33" i="2"/>
  <c r="P33" i="2"/>
  <c r="R32" i="2"/>
  <c r="Q32" i="2"/>
  <c r="P32" i="2"/>
  <c r="R31" i="2"/>
  <c r="Q31" i="2"/>
  <c r="P31" i="2"/>
  <c r="R30" i="2"/>
  <c r="Q30" i="2"/>
  <c r="P30" i="2"/>
  <c r="R29" i="2"/>
  <c r="Q29" i="2"/>
  <c r="P29" i="2"/>
  <c r="R28" i="2"/>
  <c r="Q28" i="2"/>
  <c r="P28" i="2"/>
  <c r="R27" i="2"/>
  <c r="Q27" i="2"/>
  <c r="P27" i="2"/>
  <c r="R26" i="2"/>
  <c r="Q26" i="2"/>
  <c r="P26" i="2"/>
  <c r="R25" i="2"/>
  <c r="Q25" i="2"/>
  <c r="P25" i="2"/>
  <c r="R24" i="2"/>
  <c r="Q24" i="2"/>
  <c r="P24" i="2"/>
  <c r="R23" i="2"/>
  <c r="Q23" i="2"/>
  <c r="P23" i="2"/>
  <c r="R22" i="2"/>
  <c r="Q22" i="2"/>
  <c r="P22" i="2"/>
  <c r="R21" i="2"/>
  <c r="Q21" i="2"/>
  <c r="P21" i="2"/>
  <c r="R20" i="2"/>
  <c r="Q20" i="2"/>
  <c r="P20" i="2"/>
  <c r="R19" i="2"/>
  <c r="Q19" i="2"/>
  <c r="P19" i="2"/>
  <c r="R18" i="2"/>
  <c r="Q18" i="2"/>
  <c r="P18" i="2"/>
  <c r="R17" i="2"/>
  <c r="Q17" i="2"/>
  <c r="P17" i="2"/>
  <c r="R16" i="2"/>
  <c r="Q16" i="2"/>
  <c r="P16" i="2"/>
  <c r="R15" i="2"/>
  <c r="Q15" i="2"/>
  <c r="R14" i="2"/>
  <c r="R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R11" i="2"/>
  <c r="Q11" i="2"/>
  <c r="P11" i="2"/>
  <c r="R10" i="2"/>
  <c r="Q10" i="2"/>
  <c r="P10" i="2"/>
  <c r="R9" i="2"/>
  <c r="Q9" i="2"/>
  <c r="P9" i="2"/>
  <c r="R8" i="2"/>
  <c r="Q8" i="2"/>
  <c r="P8" i="2"/>
  <c r="R7" i="2"/>
  <c r="Q7" i="2"/>
  <c r="L6" i="7" l="1"/>
  <c r="E6" i="7"/>
  <c r="G14" i="3"/>
  <c r="F3" i="6" s="1"/>
  <c r="F6" i="7"/>
  <c r="D14" i="3"/>
  <c r="C3" i="6" s="1"/>
  <c r="P12" i="3"/>
  <c r="D9" i="5"/>
  <c r="Q9" i="5" s="1"/>
  <c r="D14" i="5"/>
  <c r="Q14" i="5" s="1"/>
  <c r="P16" i="3"/>
  <c r="P13" i="2"/>
  <c r="I47" i="2"/>
  <c r="M3" i="6"/>
  <c r="M6" i="7"/>
  <c r="J3" i="6"/>
  <c r="J6" i="7"/>
  <c r="I3" i="6"/>
  <c r="I6" i="7"/>
  <c r="H3" i="6"/>
  <c r="H6" i="7"/>
  <c r="G3" i="6"/>
  <c r="H47" i="2"/>
  <c r="G47" i="2"/>
  <c r="F47" i="2"/>
  <c r="E3" i="6"/>
  <c r="E47" i="2"/>
  <c r="D47" i="2"/>
  <c r="B3" i="6"/>
  <c r="C47" i="2"/>
  <c r="C49" i="2" s="1"/>
  <c r="C55" i="2" s="1"/>
  <c r="D8" i="5"/>
  <c r="Q8" i="5" s="1"/>
  <c r="J47" i="2"/>
  <c r="N47" i="2"/>
  <c r="M47" i="2"/>
  <c r="L3" i="6"/>
  <c r="P43" i="2"/>
  <c r="W43" i="2" s="1"/>
  <c r="V8" i="2"/>
  <c r="K3" i="6"/>
  <c r="L47" i="2"/>
  <c r="K47" i="2"/>
  <c r="Q12" i="5"/>
  <c r="E14" i="3" l="1"/>
  <c r="D6" i="7" s="1"/>
  <c r="P17" i="3"/>
  <c r="D48" i="2"/>
  <c r="D49" i="2" s="1"/>
  <c r="D55" i="2" s="1"/>
  <c r="D20" i="5"/>
  <c r="C53" i="2"/>
  <c r="C51" i="2"/>
  <c r="C52" i="2" s="1"/>
  <c r="Q20" i="5"/>
  <c r="P47" i="2"/>
  <c r="V43" i="2"/>
  <c r="D3" i="6" l="1"/>
  <c r="O3" i="6" s="1"/>
  <c r="E48" i="2"/>
  <c r="E49" i="2" s="1"/>
  <c r="E55" i="2" s="1"/>
  <c r="D53" i="2"/>
  <c r="D51" i="2"/>
  <c r="D52" i="2" s="1"/>
  <c r="C54" i="2"/>
  <c r="C56" i="2" l="1"/>
  <c r="D57" i="2" s="1"/>
  <c r="F48" i="2"/>
  <c r="F49" i="2" s="1"/>
  <c r="F53" i="2" s="1"/>
  <c r="E53" i="2"/>
  <c r="E51" i="2"/>
  <c r="E52" i="2" s="1"/>
  <c r="D54" i="2"/>
  <c r="D56" i="2" s="1"/>
  <c r="E57" i="2" l="1"/>
  <c r="C58" i="2"/>
  <c r="F51" i="2"/>
  <c r="F52" i="2" s="1"/>
  <c r="F54" i="2" s="1"/>
  <c r="F55" i="2"/>
  <c r="G48" i="2"/>
  <c r="G49" i="2" s="1"/>
  <c r="G53" i="2" s="1"/>
  <c r="E54" i="2"/>
  <c r="E56" i="2" s="1"/>
  <c r="C63" i="2" l="1"/>
  <c r="B2" i="6" s="1"/>
  <c r="B4" i="6" s="1"/>
  <c r="D5" i="7"/>
  <c r="F56" i="2"/>
  <c r="G51" i="2"/>
  <c r="G52" i="2" s="1"/>
  <c r="G54" i="2" s="1"/>
  <c r="G55" i="2"/>
  <c r="H48" i="2"/>
  <c r="H49" i="2" s="1"/>
  <c r="H55" i="2" s="1"/>
  <c r="B5" i="7" l="1"/>
  <c r="B7" i="7" s="1"/>
  <c r="G57" i="2"/>
  <c r="F58" i="2"/>
  <c r="F63" i="2" s="1"/>
  <c r="C7" i="7"/>
  <c r="H51" i="2"/>
  <c r="H52" i="2" s="1"/>
  <c r="H53" i="2"/>
  <c r="D2" i="6"/>
  <c r="D4" i="6" s="1"/>
  <c r="I48" i="2"/>
  <c r="I49" i="2" s="1"/>
  <c r="I51" i="2" s="1"/>
  <c r="I52" i="2" s="1"/>
  <c r="C2" i="6"/>
  <c r="C4" i="6" s="1"/>
  <c r="G56" i="2"/>
  <c r="H57" i="2" s="1"/>
  <c r="I55" i="2" l="1"/>
  <c r="H54" i="2"/>
  <c r="H56" i="2" s="1"/>
  <c r="I57" i="2" s="1"/>
  <c r="I53" i="2"/>
  <c r="I54" i="2" s="1"/>
  <c r="J48" i="2"/>
  <c r="J49" i="2" s="1"/>
  <c r="K48" i="2" s="1"/>
  <c r="K49" i="2" s="1"/>
  <c r="I56" i="2" l="1"/>
  <c r="J57" i="2" s="1"/>
  <c r="J53" i="2"/>
  <c r="J51" i="2"/>
  <c r="J52" i="2" s="1"/>
  <c r="E5" i="7"/>
  <c r="J55" i="2"/>
  <c r="D7" i="7"/>
  <c r="K53" i="2"/>
  <c r="L48" i="2"/>
  <c r="L49" i="2" s="1"/>
  <c r="K55" i="2"/>
  <c r="K51" i="2"/>
  <c r="K52" i="2" s="1"/>
  <c r="J54" i="2" l="1"/>
  <c r="J56" i="2" s="1"/>
  <c r="K57" i="2" s="1"/>
  <c r="E2" i="6"/>
  <c r="E4" i="6" s="1"/>
  <c r="E7" i="7"/>
  <c r="G58" i="2"/>
  <c r="K54" i="2"/>
  <c r="K56" i="2" s="1"/>
  <c r="L57" i="2" s="1"/>
  <c r="L55" i="2"/>
  <c r="L51" i="2"/>
  <c r="L52" i="2" s="1"/>
  <c r="M48" i="2"/>
  <c r="M49" i="2" s="1"/>
  <c r="L53" i="2"/>
  <c r="G63" i="2" l="1"/>
  <c r="F5" i="7" s="1"/>
  <c r="F7" i="7" s="1"/>
  <c r="L54" i="2"/>
  <c r="L56" i="2" s="1"/>
  <c r="M57" i="2" s="1"/>
  <c r="M53" i="2"/>
  <c r="N48" i="2"/>
  <c r="N49" i="2" s="1"/>
  <c r="M55" i="2"/>
  <c r="M51" i="2"/>
  <c r="M52" i="2" s="1"/>
  <c r="F2" i="6" l="1"/>
  <c r="F4" i="6" s="1"/>
  <c r="H58" i="2"/>
  <c r="H63" i="2" s="1"/>
  <c r="M54" i="2"/>
  <c r="M56" i="2" s="1"/>
  <c r="N57" i="2" s="1"/>
  <c r="N55" i="2"/>
  <c r="N51" i="2"/>
  <c r="N52" i="2" s="1"/>
  <c r="N53" i="2"/>
  <c r="G7" i="7" l="1"/>
  <c r="G2" i="6"/>
  <c r="G4" i="6" s="1"/>
  <c r="N54" i="2"/>
  <c r="N56" i="2" s="1"/>
  <c r="I58" i="2" l="1"/>
  <c r="I63" i="2" s="1"/>
  <c r="H7" i="7" l="1"/>
  <c r="H2" i="6"/>
  <c r="H4" i="6" s="1"/>
  <c r="J58" i="2"/>
  <c r="J63" i="2" s="1"/>
  <c r="K58" i="2" s="1"/>
  <c r="K63" i="2" s="1"/>
  <c r="I7" i="7" l="1"/>
  <c r="I2" i="6"/>
  <c r="I4" i="6" s="1"/>
  <c r="J7" i="7" l="1"/>
  <c r="J2" i="6"/>
  <c r="J4" i="6" l="1"/>
  <c r="L58" i="2"/>
  <c r="L63" i="2" s="1"/>
  <c r="K7" i="7" l="1"/>
  <c r="K2" i="6"/>
  <c r="M58" i="2"/>
  <c r="M63" i="2" s="1"/>
  <c r="M19" i="3" l="1"/>
  <c r="N58" i="2"/>
  <c r="N63" i="2" s="1"/>
  <c r="N65" i="2" s="1"/>
  <c r="L7" i="7"/>
  <c r="L2" i="6"/>
  <c r="L4" i="6" s="1"/>
  <c r="K4" i="6"/>
  <c r="M7" i="7"/>
  <c r="M2" i="6" l="1"/>
  <c r="M4" i="6" s="1"/>
  <c r="O2" i="6" l="1"/>
  <c r="O4" i="6" s="1"/>
</calcChain>
</file>

<file path=xl/sharedStrings.xml><?xml version="1.0" encoding="utf-8"?>
<sst xmlns="http://schemas.openxmlformats.org/spreadsheetml/2006/main" count="324" uniqueCount="156">
  <si>
    <t>Límite inferior</t>
  </si>
  <si>
    <t>Límite superior</t>
  </si>
  <si>
    <t>Cuota fija</t>
  </si>
  <si>
    <t>$</t>
  </si>
  <si>
    <t>%</t>
  </si>
  <si>
    <t>En adelante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</si>
  <si>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</si>
  <si>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</si>
  <si>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</si>
  <si>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</si>
  <si>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</si>
  <si>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</si>
  <si>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</si>
  <si>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</si>
  <si>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</si>
  <si>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</si>
  <si>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</si>
  <si>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</si>
  <si>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S/LI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</si>
  <si>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</si>
  <si>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</si>
  <si>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</si>
  <si>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</si>
  <si>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</si>
  <si>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</si>
  <si>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</si>
  <si>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</si>
  <si>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</si>
  <si>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</si>
  <si>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</si>
  <si>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</si>
  <si>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Ingresos</t>
  </si>
  <si>
    <t>Deducciones Autorizadas</t>
  </si>
  <si>
    <t>Total deduciones Autorizadas</t>
  </si>
  <si>
    <t>Concepto</t>
  </si>
  <si>
    <t>Utilidad del Periodo</t>
  </si>
  <si>
    <t>Utilidad Acumulada periodo Anterior</t>
  </si>
  <si>
    <t>Base Gravable del Periodo</t>
  </si>
  <si>
    <t>Limite Inferior</t>
  </si>
  <si>
    <t>Excedente Limite Inferior</t>
  </si>
  <si>
    <t>Porcentaje S/Limite Inferior</t>
  </si>
  <si>
    <t>Impuesto Marginal</t>
  </si>
  <si>
    <t>Cuota Fija</t>
  </si>
  <si>
    <t>Isr del Periodo</t>
  </si>
  <si>
    <t>Pagos Provisional Anterior</t>
  </si>
  <si>
    <t>ISR por Pagar</t>
  </si>
  <si>
    <t>Régimen de Actividad Empresarial y Profesional</t>
  </si>
  <si>
    <t>Impuesto Cobrado</t>
  </si>
  <si>
    <t>Impuesto Pagado</t>
  </si>
  <si>
    <t>Impuesto Retenido</t>
  </si>
  <si>
    <t>Impuesto Determinado</t>
  </si>
  <si>
    <t>IVA a Favor periodo Anterior</t>
  </si>
  <si>
    <t>IVA por Pagar</t>
  </si>
  <si>
    <t>ISR a Pagar</t>
  </si>
  <si>
    <t>IVA A Favor</t>
  </si>
  <si>
    <t>Mes</t>
  </si>
  <si>
    <t>Importe</t>
  </si>
  <si>
    <t>Acreditamientos</t>
  </si>
  <si>
    <t>Sumas</t>
  </si>
  <si>
    <t>Saldo</t>
  </si>
  <si>
    <t xml:space="preserve">Fecha </t>
  </si>
  <si>
    <t>Presentación</t>
  </si>
  <si>
    <t>Número</t>
  </si>
  <si>
    <t>Operación</t>
  </si>
  <si>
    <t>luis alonso lópez vera</t>
  </si>
  <si>
    <t>r.f.c.: lovl720702sg3</t>
  </si>
  <si>
    <t>Cédula de determinación de los Acreditamientos de IVA a Favor</t>
  </si>
  <si>
    <t>ejercicio 2014</t>
  </si>
  <si>
    <t>cuenta</t>
  </si>
  <si>
    <t>400-001-000</t>
  </si>
  <si>
    <t>400-002-000</t>
  </si>
  <si>
    <t xml:space="preserve">R.F.C.: </t>
  </si>
  <si>
    <t>410-000-000</t>
  </si>
  <si>
    <t>415-002-001</t>
  </si>
  <si>
    <t>No identificados</t>
  </si>
  <si>
    <t>415-003-001</t>
  </si>
  <si>
    <t>Otros Ingresos</t>
  </si>
  <si>
    <t>505-001-000</t>
  </si>
  <si>
    <t>Costos por Ingresos</t>
  </si>
  <si>
    <t>510-001-000</t>
  </si>
  <si>
    <t>Sueldos y Salarios</t>
  </si>
  <si>
    <t>510-002-000</t>
  </si>
  <si>
    <t>Premio de Puntualidad yAsistencia</t>
  </si>
  <si>
    <t>510-003-000</t>
  </si>
  <si>
    <t>Horas Extras</t>
  </si>
  <si>
    <t>510-004-000</t>
  </si>
  <si>
    <t>Indemnizaciones</t>
  </si>
  <si>
    <t>Aguinaldos</t>
  </si>
  <si>
    <t>510-005-000</t>
  </si>
  <si>
    <t>510-006-000</t>
  </si>
  <si>
    <t>Vacaciones</t>
  </si>
  <si>
    <t>510-007-000</t>
  </si>
  <si>
    <t>Prima Vacacional</t>
  </si>
  <si>
    <t>510-010-000</t>
  </si>
  <si>
    <t>Primas de Seguros</t>
  </si>
  <si>
    <t>510-011-000</t>
  </si>
  <si>
    <t>Energia Electrica</t>
  </si>
  <si>
    <t>510-013-000</t>
  </si>
  <si>
    <t>Papeleria y Utiles de Escritorio</t>
  </si>
  <si>
    <t>510-016-000</t>
  </si>
  <si>
    <t>Telefonos</t>
  </si>
  <si>
    <t>510-020-000</t>
  </si>
  <si>
    <t>Honorarios</t>
  </si>
  <si>
    <t>510-021-000</t>
  </si>
  <si>
    <t>Combustibles y lubricantes</t>
  </si>
  <si>
    <t>510-022-000</t>
  </si>
  <si>
    <t>Mantenimiento de Equipo de Transporte</t>
  </si>
  <si>
    <t>510-024-000</t>
  </si>
  <si>
    <t>600-001-000</t>
  </si>
  <si>
    <t>Deduccion de Inversiones</t>
  </si>
  <si>
    <t>705-001-000</t>
  </si>
  <si>
    <t>Comisiones e Intereses Bancarios</t>
  </si>
  <si>
    <t>Limpieza</t>
  </si>
  <si>
    <t>210-001-003</t>
  </si>
  <si>
    <t>Impuesto sobre Nomina</t>
  </si>
  <si>
    <t>210-001-004</t>
  </si>
  <si>
    <t>Cuotas IMSS</t>
  </si>
  <si>
    <t>5% Infonavit</t>
  </si>
  <si>
    <t>SAR</t>
  </si>
  <si>
    <t>Anual</t>
  </si>
  <si>
    <t>Cuenta</t>
  </si>
  <si>
    <t>204-001-001</t>
  </si>
  <si>
    <t>134-001-001</t>
  </si>
  <si>
    <t>130-001-001</t>
  </si>
  <si>
    <t>210-001-001</t>
  </si>
  <si>
    <t>120-000-000</t>
  </si>
  <si>
    <t>PTU Pagada</t>
  </si>
  <si>
    <t>510-017-000</t>
  </si>
  <si>
    <t>Mensajeria</t>
  </si>
  <si>
    <t>510-018-000</t>
  </si>
  <si>
    <t>Gastos de Viaje</t>
  </si>
  <si>
    <t>510-019-000</t>
  </si>
  <si>
    <t>Gastos Varios</t>
  </si>
  <si>
    <t>510-014-000</t>
  </si>
  <si>
    <t>Fletes y Acarreos</t>
  </si>
  <si>
    <t>Esta debe ser la base de tu impuesto anual</t>
  </si>
  <si>
    <t xml:space="preserve">ISR </t>
  </si>
  <si>
    <t xml:space="preserve">IVA </t>
  </si>
  <si>
    <t xml:space="preserve">IMPUESTO </t>
  </si>
  <si>
    <t xml:space="preserve">Enero </t>
  </si>
  <si>
    <t xml:space="preserve">Febrero </t>
  </si>
  <si>
    <t xml:space="preserve">Total </t>
  </si>
  <si>
    <t xml:space="preserve">Totales </t>
  </si>
  <si>
    <t xml:space="preserve">Renta </t>
  </si>
  <si>
    <t xml:space="preserve">Recargos y Actualizaciones </t>
  </si>
  <si>
    <t xml:space="preserve">Resumen de impuestos por pagar </t>
  </si>
  <si>
    <t xml:space="preserve">Marzo </t>
  </si>
  <si>
    <t xml:space="preserve">Total por pagar </t>
  </si>
  <si>
    <t xml:space="preserve">Pendiente de aplicar </t>
  </si>
  <si>
    <t>Calculo de los Pagos Provisionales</t>
  </si>
  <si>
    <t xml:space="preserve">Compensacion </t>
  </si>
  <si>
    <t>Impuesto Sobre la Renta Ejercicio 2025</t>
  </si>
  <si>
    <t>Impuesto Al Valor Agregado Ejercicio 2025</t>
  </si>
  <si>
    <t xml:space="preserve">Ingresos de la Actividad Efectivamente cobrados </t>
  </si>
  <si>
    <t>Ingresos por Servicios Efectivamente Cobrados</t>
  </si>
  <si>
    <t>Ingresos por Productos Financieros Efectivamente Cobrados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</si>
</sst>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3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0" xfId="0" applyFill="1"/>
    <xf numFmtId="4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0" borderId="12" xfId="0" applyFont="1" applyBorder="1"/>
    <xf numFmtId="43" fontId="8" fillId="0" borderId="0" xfId="1" applyFont="1"/>
    <xf numFmtId="43" fontId="8" fillId="0" borderId="12" xfId="1" applyFont="1" applyBorder="1"/>
    <xf numFmtId="0" fontId="7" fillId="5" borderId="10" xfId="0" applyFont="1" applyFill="1" applyBorder="1"/>
    <xf numFmtId="43" fontId="7" fillId="5" borderId="13" xfId="0" applyNumberFormat="1" applyFont="1" applyFill="1" applyBorder="1"/>
    <xf numFmtId="43" fontId="7" fillId="5" borderId="10" xfId="0" applyNumberFormat="1" applyFont="1" applyFill="1" applyBorder="1"/>
    <xf numFmtId="0" fontId="8" fillId="0" borderId="0" xfId="0" applyFont="1"/>
    <xf numFmtId="43" fontId="7" fillId="5" borderId="10" xfId="1" applyFont="1" applyFill="1" applyBorder="1"/>
    <xf numFmtId="0" fontId="8" fillId="5" borderId="10" xfId="0" applyFont="1" applyFill="1" applyBorder="1"/>
    <xf numFmtId="43" fontId="8" fillId="0" borderId="10" xfId="1" applyFont="1" applyBorder="1"/>
    <xf numFmtId="43" fontId="7" fillId="0" borderId="10" xfId="1" applyFont="1" applyBorder="1"/>
    <xf numFmtId="0" fontId="9" fillId="0" borderId="10" xfId="0" applyFont="1" applyBorder="1"/>
    <xf numFmtId="43" fontId="9" fillId="0" borderId="10" xfId="1" applyFont="1" applyBorder="1"/>
    <xf numFmtId="0" fontId="10" fillId="0" borderId="10" xfId="0" applyFont="1" applyBorder="1"/>
    <xf numFmtId="43" fontId="10" fillId="0" borderId="10" xfId="0" applyNumberFormat="1" applyFont="1" applyBorder="1"/>
    <xf numFmtId="10" fontId="9" fillId="0" borderId="10" xfId="2" applyNumberFormat="1" applyFont="1" applyBorder="1"/>
    <xf numFmtId="0" fontId="7" fillId="0" borderId="13" xfId="0" applyFont="1" applyBorder="1"/>
    <xf numFmtId="43" fontId="7" fillId="0" borderId="13" xfId="0" applyNumberFormat="1" applyFont="1" applyBorder="1"/>
    <xf numFmtId="43" fontId="7" fillId="5" borderId="10" xfId="0" applyNumberFormat="1" applyFont="1" applyFill="1" applyBorder="1" applyAlignment="1">
      <alignment horizontal="center" vertical="center"/>
    </xf>
    <xf numFmtId="43" fontId="4" fillId="0" borderId="0" xfId="0" applyNumberFormat="1" applyFont="1"/>
    <xf numFmtId="0" fontId="4" fillId="0" borderId="0" xfId="0" applyFont="1" applyAlignment="1">
      <alignment vertical="center"/>
    </xf>
    <xf numFmtId="0" fontId="8" fillId="4" borderId="10" xfId="0" applyFont="1" applyFill="1" applyBorder="1" applyAlignment="1">
      <alignment vertical="center"/>
    </xf>
    <xf numFmtId="164" fontId="11" fillId="4" borderId="10" xfId="1" applyNumberFormat="1" applyFont="1" applyFill="1" applyBorder="1" applyAlignment="1" applyProtection="1">
      <alignment vertical="center"/>
    </xf>
    <xf numFmtId="0" fontId="7" fillId="6" borderId="10" xfId="0" applyFont="1" applyFill="1" applyBorder="1" applyAlignment="1">
      <alignment vertical="center"/>
    </xf>
    <xf numFmtId="164" fontId="7" fillId="6" borderId="10" xfId="1" applyNumberFormat="1" applyFont="1" applyFill="1" applyBorder="1" applyAlignment="1">
      <alignment vertical="center"/>
    </xf>
    <xf numFmtId="164" fontId="8" fillId="4" borderId="11" xfId="1" applyNumberFormat="1" applyFont="1" applyFill="1" applyBorder="1" applyAlignment="1" applyProtection="1">
      <alignment vertical="center"/>
    </xf>
    <xf numFmtId="164" fontId="8" fillId="4" borderId="10" xfId="1" applyNumberFormat="1" applyFont="1" applyFill="1" applyBorder="1" applyAlignment="1" applyProtection="1">
      <alignment vertical="center"/>
    </xf>
    <xf numFmtId="164" fontId="8" fillId="0" borderId="0" xfId="1" applyNumberFormat="1" applyFont="1"/>
    <xf numFmtId="43" fontId="8" fillId="0" borderId="0" xfId="0" applyNumberFormat="1" applyFont="1"/>
    <xf numFmtId="0" fontId="8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2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8" fillId="0" borderId="10" xfId="1" applyNumberFormat="1" applyFont="1" applyBorder="1"/>
    <xf numFmtId="164" fontId="8" fillId="0" borderId="10" xfId="0" applyNumberFormat="1" applyFont="1" applyBorder="1"/>
    <xf numFmtId="0" fontId="8" fillId="0" borderId="14" xfId="0" applyFont="1" applyBorder="1"/>
    <xf numFmtId="0" fontId="8" fillId="0" borderId="17" xfId="0" applyFont="1" applyBorder="1"/>
    <xf numFmtId="0" fontId="7" fillId="0" borderId="10" xfId="0" applyFont="1" applyBorder="1"/>
    <xf numFmtId="0" fontId="7" fillId="0" borderId="12" xfId="0" applyFont="1" applyBorder="1"/>
    <xf numFmtId="164" fontId="7" fillId="0" borderId="18" xfId="0" applyNumberFormat="1" applyFont="1" applyBorder="1"/>
    <xf numFmtId="0" fontId="8" fillId="0" borderId="15" xfId="0" applyFont="1" applyBorder="1"/>
    <xf numFmtId="0" fontId="12" fillId="0" borderId="10" xfId="0" applyFont="1" applyBorder="1"/>
    <xf numFmtId="4" fontId="8" fillId="0" borderId="0" xfId="0" applyNumberFormat="1" applyFont="1"/>
    <xf numFmtId="0" fontId="7" fillId="0" borderId="0" xfId="0" applyFont="1" applyAlignment="1">
      <alignment horizontal="center" vertical="center"/>
    </xf>
    <xf numFmtId="43" fontId="8" fillId="0" borderId="0" xfId="1" applyFont="1" applyBorder="1"/>
    <xf numFmtId="43" fontId="12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7" borderId="0" xfId="0" applyFont="1" applyFill="1" applyAlignment="1">
      <alignment vertical="center"/>
    </xf>
    <xf numFmtId="43" fontId="13" fillId="0" borderId="0" xfId="1" applyFont="1" applyAlignment="1">
      <alignment vertical="center" wrapText="1"/>
    </xf>
    <xf numFmtId="0" fontId="14" fillId="0" borderId="0" xfId="0" applyFont="1"/>
    <xf numFmtId="0" fontId="0" fillId="0" borderId="19" xfId="0" applyBorder="1"/>
    <xf numFmtId="0" fontId="15" fillId="8" borderId="19" xfId="0" applyFont="1" applyFill="1" applyBorder="1"/>
    <xf numFmtId="43" fontId="0" fillId="0" borderId="19" xfId="1" applyFont="1" applyBorder="1"/>
    <xf numFmtId="0" fontId="15" fillId="8" borderId="20" xfId="0" applyFont="1" applyFill="1" applyBorder="1"/>
    <xf numFmtId="43" fontId="15" fillId="8" borderId="19" xfId="0" applyNumberFormat="1" applyFont="1" applyFill="1" applyBorder="1"/>
    <xf numFmtId="43" fontId="15" fillId="8" borderId="0" xfId="0" applyNumberFormat="1" applyFont="1" applyFill="1"/>
    <xf numFmtId="43" fontId="4" fillId="0" borderId="0" xfId="0" applyNumberFormat="1" applyFont="1" applyAlignment="1">
      <alignment vertical="center"/>
    </xf>
    <xf numFmtId="164" fontId="0" fillId="0" borderId="0" xfId="0" applyNumberFormat="1"/>
    <xf numFmtId="0" fontId="10" fillId="0" borderId="13" xfId="0" applyFont="1" applyBorder="1"/>
    <xf numFmtId="43" fontId="10" fillId="0" borderId="13" xfId="0" applyNumberFormat="1" applyFont="1" applyBorder="1"/>
    <xf numFmtId="164" fontId="8" fillId="4" borderId="10" xfId="1" applyNumberFormat="1" applyFont="1" applyFill="1" applyBorder="1" applyAlignment="1" applyProtection="1"/>
    <xf numFmtId="164" fontId="8" fillId="0" borderId="0" xfId="0" applyNumberFormat="1" applyFont="1"/>
    <xf numFmtId="164" fontId="4" fillId="0" borderId="0" xfId="0" applyNumberFormat="1" applyFont="1"/>
    <xf numFmtId="43" fontId="10" fillId="0" borderId="10" xfId="1" applyFont="1" applyBorder="1"/>
    <xf numFmtId="43" fontId="0" fillId="0" borderId="0" xfId="1" applyFont="1"/>
    <xf numFmtId="165" fontId="4" fillId="0" borderId="0" xfId="1" applyNumberFormat="1" applyFont="1"/>
    <xf numFmtId="43" fontId="10" fillId="0" borderId="13" xfId="1" applyFont="1" applyBorder="1"/>
    <xf numFmtId="164" fontId="4" fillId="0" borderId="0" xfId="0" applyNumberFormat="1" applyFont="1" applyAlignment="1">
      <alignment vertical="center"/>
    </xf>
    <xf numFmtId="4" fontId="17" fillId="9" borderId="0" xfId="1" applyNumberFormat="1" applyFont="1" applyFill="1" applyAlignment="1">
      <alignment horizontal="right" vertical="center"/>
    </xf>
    <xf numFmtId="10" fontId="17" fillId="9" borderId="0" xfId="1" applyNumberFormat="1" applyFont="1" applyFill="1" applyAlignment="1">
      <alignment horizontal="center" vertical="center"/>
    </xf>
    <xf numFmtId="4" fontId="17" fillId="9" borderId="21" xfId="1" applyNumberFormat="1" applyFont="1" applyFill="1" applyBorder="1" applyAlignment="1">
      <alignment horizontal="right" vertical="center"/>
    </xf>
    <xf numFmtId="10" fontId="17" fillId="9" borderId="21" xfId="1" applyNumberFormat="1" applyFont="1" applyFill="1" applyBorder="1" applyAlignment="1">
      <alignment horizontal="center" vertical="center"/>
    </xf>
    <xf numFmtId="4" fontId="16" fillId="0" borderId="14" xfId="3" applyNumberFormat="1" applyBorder="1"/>
    <xf numFmtId="43" fontId="16" fillId="0" borderId="14" xfId="3" applyNumberFormat="1" applyBorder="1"/>
    <xf numFmtId="43" fontId="16" fillId="0" borderId="0" xfId="5" applyFont="1"/>
    <xf numFmtId="43" fontId="16" fillId="0" borderId="0" xfId="1" applyFont="1"/>
    <xf numFmtId="43" fontId="4" fillId="0" borderId="0" xfId="2" applyNumberFormat="1" applyFont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4" xr:uid="{5FBFED97-1F2D-47A7-9801-217E282BE129}"/>
    <cellStyle name="Millares 3" xfId="5" xr:uid="{7D32D90F-14BC-4FBA-A598-6BE214AA3671}"/>
    <cellStyle name="Millares 4" xfId="6" xr:uid="{769FCFA6-94B5-43E2-95D0-1C244F138E04}"/>
    <cellStyle name="Normal" xfId="0" builtinId="0"/>
    <cellStyle name="Normal 2" xfId="3" xr:uid="{3301A789-5234-4EC8-B692-488DFBD3A4D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zoomScaleNormal="100" workbookViewId="0">
      <selection activeCell="M39" sqref="M39"/>
    </sheetView>
  </sheetViews>
  <sheetFormatPr baseColWidth="10" defaultColWidth="0" defaultRowHeight="15" zeroHeight="1" x14ac:dyDescent="0.25"/>
  <cols>
    <col min="1" max="4" width="11.42578125" customWidth="1"/>
    <col min="5" max="5" width="1.5703125" style="7" customWidth="1"/>
    <col min="6" max="9" width="11.42578125" customWidth="1"/>
    <col min="10" max="10" width="1.5703125" style="7" customWidth="1"/>
    <col min="11" max="14" width="11.42578125" customWidth="1"/>
    <col min="15" max="15" width="1.5703125" style="7" customWidth="1"/>
    <col min="16" max="19" width="11.42578125" customWidth="1"/>
    <col min="20" max="20" width="1.85546875" customWidth="1"/>
    <col min="21" max="16384" width="11.42578125" hidden="1"/>
  </cols>
  <sheetData>
    <row r="1" spans="1:19" ht="16.5" thickTop="1" thickBot="1" x14ac:dyDescent="0.3">
      <c r="A1" s="97" t="s">
        <v>6</v>
      </c>
      <c r="B1" s="98"/>
      <c r="C1" s="98"/>
      <c r="D1" s="99"/>
      <c r="F1" s="97" t="s">
        <v>7</v>
      </c>
      <c r="G1" s="98"/>
      <c r="H1" s="98"/>
      <c r="I1" s="99"/>
      <c r="K1" s="97" t="s">
        <v>8</v>
      </c>
      <c r="L1" s="98"/>
      <c r="M1" s="98"/>
      <c r="N1" s="99"/>
      <c r="P1" s="97" t="s">
        <v>9</v>
      </c>
      <c r="Q1" s="98"/>
      <c r="R1" s="98"/>
      <c r="S1" s="99"/>
    </row>
    <row r="2" spans="1:19" ht="15.75" thickTop="1" x14ac:dyDescent="0.25">
      <c r="A2" s="1" t="s">
        <v>0</v>
      </c>
      <c r="B2" s="2" t="s">
        <v>1</v>
      </c>
      <c r="C2" s="2" t="s">
        <v>2</v>
      </c>
      <c r="D2" s="3" t="s">
        <v>18</v>
      </c>
      <c r="F2" s="1" t="s">
        <v>0</v>
      </c>
      <c r="G2" s="2" t="s">
        <v>1</v>
      </c>
      <c r="H2" s="2" t="s">
        <v>2</v>
      </c>
      <c r="I2" s="3" t="s">
        <v>18</v>
      </c>
      <c r="K2" s="1" t="s">
        <v>0</v>
      </c>
      <c r="L2" s="2" t="s">
        <v>1</v>
      </c>
      <c r="M2" s="2" t="s">
        <v>2</v>
      </c>
      <c r="N2" s="3" t="s">
        <v>18</v>
      </c>
      <c r="P2" s="1" t="s">
        <v>0</v>
      </c>
      <c r="Q2" s="2" t="s">
        <v>1</v>
      </c>
      <c r="R2" s="2" t="s">
        <v>2</v>
      </c>
      <c r="S2" s="3" t="s">
        <v>18</v>
      </c>
    </row>
    <row r="3" spans="1:19" ht="15.75" thickBot="1" x14ac:dyDescent="0.3">
      <c r="A3" s="4" t="s">
        <v>3</v>
      </c>
      <c r="B3" s="5" t="s">
        <v>3</v>
      </c>
      <c r="C3" s="5" t="s">
        <v>3</v>
      </c>
      <c r="D3" s="6" t="s">
        <v>4</v>
      </c>
      <c r="F3" s="4" t="s">
        <v>3</v>
      </c>
      <c r="G3" s="5" t="s">
        <v>3</v>
      </c>
      <c r="H3" s="5" t="s">
        <v>3</v>
      </c>
      <c r="I3" s="6" t="s">
        <v>4</v>
      </c>
      <c r="K3" s="4" t="s">
        <v>3</v>
      </c>
      <c r="L3" s="5" t="s">
        <v>3</v>
      </c>
      <c r="M3" s="5" t="s">
        <v>3</v>
      </c>
      <c r="N3" s="6" t="s">
        <v>4</v>
      </c>
      <c r="P3" s="4" t="s">
        <v>3</v>
      </c>
      <c r="Q3" s="5" t="s">
        <v>3</v>
      </c>
      <c r="R3" s="5" t="s">
        <v>3</v>
      </c>
      <c r="S3" s="6" t="s">
        <v>4</v>
      </c>
    </row>
    <row r="4" spans="1:19" ht="15.75" thickTop="1" x14ac:dyDescent="0.25">
      <c r="A4" s="88">
        <v>0.01</v>
      </c>
      <c r="B4" s="88">
        <v>746.04</v>
      </c>
      <c r="C4" s="88">
        <v>0</v>
      </c>
      <c r="D4" s="89">
        <f>192%/100</f>
        <v>1.9199999999999998E-2</v>
      </c>
      <c r="F4" s="88">
        <v>0.01</v>
      </c>
      <c r="G4" s="88">
        <v>1492.08</v>
      </c>
      <c r="H4" s="88">
        <v>0</v>
      </c>
      <c r="I4" s="89">
        <v>1.9199999999999998E-2</v>
      </c>
      <c r="K4" s="88">
        <v>0.01</v>
      </c>
      <c r="L4" s="88">
        <v>2238.12</v>
      </c>
      <c r="M4" s="88">
        <v>0</v>
      </c>
      <c r="N4" s="89">
        <v>1.9199999999999998E-2</v>
      </c>
      <c r="P4" s="88">
        <v>0.01</v>
      </c>
      <c r="Q4" s="88">
        <v>2984.16</v>
      </c>
      <c r="R4" s="88">
        <v>0</v>
      </c>
      <c r="S4" s="89">
        <v>1.9199999999999998E-2</v>
      </c>
    </row>
    <row r="5" spans="1:19" x14ac:dyDescent="0.25">
      <c r="A5" s="88">
        <v>746.05</v>
      </c>
      <c r="B5" s="88">
        <v>6332.05</v>
      </c>
      <c r="C5" s="88">
        <v>14.32</v>
      </c>
      <c r="D5" s="89">
        <f>640%/100</f>
        <v>6.4000000000000001E-2</v>
      </c>
      <c r="F5" s="88">
        <v>1492.09</v>
      </c>
      <c r="G5" s="88">
        <v>12664.1</v>
      </c>
      <c r="H5" s="88">
        <v>28.64</v>
      </c>
      <c r="I5" s="89">
        <v>6.4000000000000001E-2</v>
      </c>
      <c r="K5" s="88">
        <v>2238.13</v>
      </c>
      <c r="L5" s="88">
        <v>18996.150000000001</v>
      </c>
      <c r="M5" s="88">
        <v>42.96</v>
      </c>
      <c r="N5" s="89">
        <v>6.4000000000000001E-2</v>
      </c>
      <c r="P5" s="88">
        <v>2984.17</v>
      </c>
      <c r="Q5" s="88">
        <v>25328.2</v>
      </c>
      <c r="R5" s="88">
        <v>57.28</v>
      </c>
      <c r="S5" s="89">
        <v>6.4000000000000001E-2</v>
      </c>
    </row>
    <row r="6" spans="1:19" x14ac:dyDescent="0.25">
      <c r="A6" s="88">
        <v>6332.06</v>
      </c>
      <c r="B6" s="88">
        <v>11128.01</v>
      </c>
      <c r="C6" s="88">
        <v>371.83</v>
      </c>
      <c r="D6" s="89">
        <f>1088%/100</f>
        <v>0.10880000000000001</v>
      </c>
      <c r="F6" s="88">
        <v>12664.11</v>
      </c>
      <c r="G6" s="88">
        <v>22256.02</v>
      </c>
      <c r="H6" s="88">
        <v>743.66</v>
      </c>
      <c r="I6" s="89">
        <v>0.10880000000000001</v>
      </c>
      <c r="K6" s="88">
        <v>18996.16</v>
      </c>
      <c r="L6" s="88">
        <v>33384.03</v>
      </c>
      <c r="M6" s="88">
        <v>1115.49</v>
      </c>
      <c r="N6" s="89">
        <v>0.10880000000000001</v>
      </c>
      <c r="P6" s="88">
        <v>25328.21</v>
      </c>
      <c r="Q6" s="88">
        <v>44512.04</v>
      </c>
      <c r="R6" s="88">
        <v>1487.32</v>
      </c>
      <c r="S6" s="89">
        <v>0.10880000000000001</v>
      </c>
    </row>
    <row r="7" spans="1:19" x14ac:dyDescent="0.25">
      <c r="A7" s="88">
        <v>11128.02</v>
      </c>
      <c r="B7" s="88">
        <v>12935.82</v>
      </c>
      <c r="C7" s="88">
        <v>893.63</v>
      </c>
      <c r="D7" s="89">
        <f>1600%/100</f>
        <v>0.16</v>
      </c>
      <c r="F7" s="88">
        <v>22256.03</v>
      </c>
      <c r="G7" s="88">
        <v>25871.64</v>
      </c>
      <c r="H7" s="88">
        <v>1787.26</v>
      </c>
      <c r="I7" s="89">
        <v>0.16</v>
      </c>
      <c r="K7" s="88">
        <v>33384.04</v>
      </c>
      <c r="L7" s="88">
        <v>38807.46</v>
      </c>
      <c r="M7" s="88">
        <v>2680.89</v>
      </c>
      <c r="N7" s="89">
        <v>0.16</v>
      </c>
      <c r="P7" s="88">
        <v>44512.05</v>
      </c>
      <c r="Q7" s="88">
        <v>51743.28</v>
      </c>
      <c r="R7" s="88">
        <v>3574.52</v>
      </c>
      <c r="S7" s="89">
        <v>0.16</v>
      </c>
    </row>
    <row r="8" spans="1:19" x14ac:dyDescent="0.25">
      <c r="A8" s="88">
        <v>12935.83</v>
      </c>
      <c r="B8" s="88">
        <v>15487.71</v>
      </c>
      <c r="C8" s="88">
        <v>1182.8800000000001</v>
      </c>
      <c r="D8" s="89">
        <f>1792%/100</f>
        <v>0.17920000000000003</v>
      </c>
      <c r="F8" s="88">
        <v>25871.65</v>
      </c>
      <c r="G8" s="88">
        <v>30975.42</v>
      </c>
      <c r="H8" s="88">
        <v>2365.7600000000002</v>
      </c>
      <c r="I8" s="89">
        <v>0.17920000000000003</v>
      </c>
      <c r="K8" s="88">
        <v>38807.47</v>
      </c>
      <c r="L8" s="88">
        <v>46463.13</v>
      </c>
      <c r="M8" s="88">
        <v>3548.64</v>
      </c>
      <c r="N8" s="89">
        <v>0.17920000000000003</v>
      </c>
      <c r="P8" s="88">
        <v>51743.29</v>
      </c>
      <c r="Q8" s="88">
        <v>61950.84</v>
      </c>
      <c r="R8" s="88">
        <v>4731.5200000000004</v>
      </c>
      <c r="S8" s="89">
        <v>0.17920000000000003</v>
      </c>
    </row>
    <row r="9" spans="1:19" x14ac:dyDescent="0.25">
      <c r="A9" s="88">
        <v>15487.72</v>
      </c>
      <c r="B9" s="88">
        <v>31236.49</v>
      </c>
      <c r="C9" s="88">
        <v>1640.18</v>
      </c>
      <c r="D9" s="89">
        <f>2136%/100</f>
        <v>0.21359999999999998</v>
      </c>
      <c r="F9" s="88">
        <v>30975.43</v>
      </c>
      <c r="G9" s="88">
        <v>62472.98</v>
      </c>
      <c r="H9" s="88">
        <v>3280.36</v>
      </c>
      <c r="I9" s="89">
        <v>0.21359999999999998</v>
      </c>
      <c r="K9" s="88">
        <v>46463.14</v>
      </c>
      <c r="L9" s="88">
        <v>93709.47</v>
      </c>
      <c r="M9" s="88">
        <v>4920.54</v>
      </c>
      <c r="N9" s="89">
        <v>0.21359999999999998</v>
      </c>
      <c r="P9" s="88">
        <v>61950.85</v>
      </c>
      <c r="Q9" s="88">
        <v>124945.96</v>
      </c>
      <c r="R9" s="88">
        <v>6560.72</v>
      </c>
      <c r="S9" s="89">
        <v>0.21359999999999998</v>
      </c>
    </row>
    <row r="10" spans="1:19" x14ac:dyDescent="0.25">
      <c r="A10" s="88">
        <v>31236.5</v>
      </c>
      <c r="B10" s="88">
        <v>49233</v>
      </c>
      <c r="C10" s="88">
        <v>5004.12</v>
      </c>
      <c r="D10" s="89">
        <f>2352%/100</f>
        <v>0.23519999999999999</v>
      </c>
      <c r="F10" s="88">
        <v>62472.99</v>
      </c>
      <c r="G10" s="88">
        <v>98466</v>
      </c>
      <c r="H10" s="88">
        <v>10008.24</v>
      </c>
      <c r="I10" s="89">
        <v>0.23519999999999999</v>
      </c>
      <c r="K10" s="88">
        <v>93709.48</v>
      </c>
      <c r="L10" s="88">
        <v>147699</v>
      </c>
      <c r="M10" s="88">
        <v>15012.36</v>
      </c>
      <c r="N10" s="89">
        <v>0.23519999999999999</v>
      </c>
      <c r="P10" s="88">
        <v>124945.97</v>
      </c>
      <c r="Q10" s="88">
        <v>196932</v>
      </c>
      <c r="R10" s="88">
        <v>20016.48</v>
      </c>
      <c r="S10" s="89">
        <v>0.23519999999999999</v>
      </c>
    </row>
    <row r="11" spans="1:19" x14ac:dyDescent="0.25">
      <c r="A11" s="88">
        <v>49233.01</v>
      </c>
      <c r="B11" s="88">
        <v>93993.9</v>
      </c>
      <c r="C11" s="88">
        <v>9236.89</v>
      </c>
      <c r="D11" s="89">
        <f>3000%/100</f>
        <v>0.3</v>
      </c>
      <c r="F11" s="88">
        <v>98466.01</v>
      </c>
      <c r="G11" s="88">
        <v>187987.8</v>
      </c>
      <c r="H11" s="88">
        <v>18473.78</v>
      </c>
      <c r="I11" s="89">
        <v>0.3</v>
      </c>
      <c r="K11" s="88">
        <v>147699.01</v>
      </c>
      <c r="L11" s="88">
        <v>281981.7</v>
      </c>
      <c r="M11" s="88">
        <v>27710.67</v>
      </c>
      <c r="N11" s="89">
        <v>0.3</v>
      </c>
      <c r="P11" s="88">
        <v>196932.01</v>
      </c>
      <c r="Q11" s="88">
        <v>375975.6</v>
      </c>
      <c r="R11" s="88">
        <v>36947.56</v>
      </c>
      <c r="S11" s="89">
        <v>0.3</v>
      </c>
    </row>
    <row r="12" spans="1:19" x14ac:dyDescent="0.25">
      <c r="A12" s="88">
        <v>93993.91</v>
      </c>
      <c r="B12" s="88">
        <v>125325.2</v>
      </c>
      <c r="C12" s="88">
        <v>22665.17</v>
      </c>
      <c r="D12" s="89">
        <f>3200%/100</f>
        <v>0.32</v>
      </c>
      <c r="F12" s="88">
        <v>187987.81</v>
      </c>
      <c r="G12" s="88">
        <v>250650.4</v>
      </c>
      <c r="H12" s="88">
        <v>45330.34</v>
      </c>
      <c r="I12" s="89">
        <v>0.32</v>
      </c>
      <c r="K12" s="88">
        <v>281981.71000000002</v>
      </c>
      <c r="L12" s="88">
        <v>375975.6</v>
      </c>
      <c r="M12" s="88">
        <v>67995.509999999995</v>
      </c>
      <c r="N12" s="89">
        <v>0.32</v>
      </c>
      <c r="P12" s="88">
        <v>375975.61</v>
      </c>
      <c r="Q12" s="88">
        <v>501300.8</v>
      </c>
      <c r="R12" s="88">
        <v>90660.68</v>
      </c>
      <c r="S12" s="89">
        <v>0.32</v>
      </c>
    </row>
    <row r="13" spans="1:19" x14ac:dyDescent="0.25">
      <c r="A13" s="88">
        <v>125325.21</v>
      </c>
      <c r="B13" s="88">
        <v>375975.61</v>
      </c>
      <c r="C13" s="88">
        <v>32691.18</v>
      </c>
      <c r="D13" s="89">
        <f>3400%/100</f>
        <v>0.34</v>
      </c>
      <c r="F13" s="88">
        <v>250650.41</v>
      </c>
      <c r="G13" s="88">
        <v>751951.22</v>
      </c>
      <c r="H13" s="88">
        <v>65382.36</v>
      </c>
      <c r="I13" s="89">
        <v>0.34</v>
      </c>
      <c r="K13" s="88">
        <v>375975.61</v>
      </c>
      <c r="L13" s="88">
        <v>1127926.83</v>
      </c>
      <c r="M13" s="88">
        <v>98073.54</v>
      </c>
      <c r="N13" s="89">
        <v>0.34</v>
      </c>
      <c r="P13" s="88">
        <v>501300.81</v>
      </c>
      <c r="Q13" s="88">
        <v>1503902.44</v>
      </c>
      <c r="R13" s="88">
        <v>130764.72</v>
      </c>
      <c r="S13" s="89">
        <v>0.34</v>
      </c>
    </row>
    <row r="14" spans="1:19" x14ac:dyDescent="0.25">
      <c r="A14" s="90">
        <v>375975.62</v>
      </c>
      <c r="B14" s="90" t="s">
        <v>5</v>
      </c>
      <c r="C14" s="90">
        <v>117912.32000000001</v>
      </c>
      <c r="D14" s="91">
        <f>3500%/100</f>
        <v>0.35</v>
      </c>
      <c r="F14" s="90">
        <v>751951.23</v>
      </c>
      <c r="G14" s="90" t="s">
        <v>5</v>
      </c>
      <c r="H14" s="90">
        <v>235824.64000000001</v>
      </c>
      <c r="I14" s="91">
        <v>0.35</v>
      </c>
      <c r="K14" s="90">
        <v>1127926.8400000001</v>
      </c>
      <c r="L14" s="90" t="s">
        <v>5</v>
      </c>
      <c r="M14" s="90">
        <v>353736.96000000002</v>
      </c>
      <c r="N14" s="91">
        <v>0.35</v>
      </c>
      <c r="P14" s="90">
        <v>1503902.45</v>
      </c>
      <c r="Q14" s="90" t="s">
        <v>5</v>
      </c>
      <c r="R14" s="90">
        <v>471649.28000000003</v>
      </c>
      <c r="S14" s="91">
        <v>0.35</v>
      </c>
    </row>
    <row r="15" spans="1:19" s="7" customFormat="1" ht="9" customHeight="1" thickBot="1" x14ac:dyDescent="0.3"/>
    <row r="16" spans="1:19" ht="16.5" thickTop="1" thickBot="1" x14ac:dyDescent="0.3">
      <c r="A16" s="97" t="s">
        <v>10</v>
      </c>
      <c r="B16" s="98"/>
      <c r="C16" s="98"/>
      <c r="D16" s="99"/>
      <c r="F16" s="97" t="s">
        <v>11</v>
      </c>
      <c r="G16" s="98"/>
      <c r="H16" s="98"/>
      <c r="I16" s="99"/>
      <c r="K16" s="97" t="s">
        <v>12</v>
      </c>
      <c r="L16" s="98"/>
      <c r="M16" s="98"/>
      <c r="N16" s="99"/>
      <c r="P16" s="97" t="s">
        <v>13</v>
      </c>
      <c r="Q16" s="98"/>
      <c r="R16" s="98"/>
      <c r="S16" s="99"/>
    </row>
    <row r="17" spans="1:19" ht="15.75" thickTop="1" x14ac:dyDescent="0.25">
      <c r="A17" s="1" t="s">
        <v>0</v>
      </c>
      <c r="B17" s="2" t="s">
        <v>1</v>
      </c>
      <c r="C17" s="2" t="s">
        <v>2</v>
      </c>
      <c r="D17" s="3" t="s">
        <v>18</v>
      </c>
      <c r="F17" s="1" t="s">
        <v>0</v>
      </c>
      <c r="G17" s="2" t="s">
        <v>1</v>
      </c>
      <c r="H17" s="2" t="s">
        <v>2</v>
      </c>
      <c r="I17" s="3" t="s">
        <v>18</v>
      </c>
      <c r="K17" s="1" t="s">
        <v>0</v>
      </c>
      <c r="L17" s="2" t="s">
        <v>1</v>
      </c>
      <c r="M17" s="2" t="s">
        <v>2</v>
      </c>
      <c r="N17" s="3" t="s">
        <v>18</v>
      </c>
      <c r="P17" s="1" t="s">
        <v>0</v>
      </c>
      <c r="Q17" s="2" t="s">
        <v>1</v>
      </c>
      <c r="R17" s="2" t="s">
        <v>2</v>
      </c>
      <c r="S17" s="3" t="s">
        <v>18</v>
      </c>
    </row>
    <row r="18" spans="1:19" ht="15.75" thickBot="1" x14ac:dyDescent="0.3">
      <c r="A18" s="4" t="s">
        <v>3</v>
      </c>
      <c r="B18" s="5" t="s">
        <v>3</v>
      </c>
      <c r="C18" s="5" t="s">
        <v>3</v>
      </c>
      <c r="D18" s="6" t="s">
        <v>4</v>
      </c>
      <c r="F18" s="4" t="s">
        <v>3</v>
      </c>
      <c r="G18" s="5" t="s">
        <v>3</v>
      </c>
      <c r="H18" s="5" t="s">
        <v>3</v>
      </c>
      <c r="I18" s="6" t="s">
        <v>4</v>
      </c>
      <c r="K18" s="4" t="s">
        <v>3</v>
      </c>
      <c r="L18" s="5" t="s">
        <v>3</v>
      </c>
      <c r="M18" s="5" t="s">
        <v>3</v>
      </c>
      <c r="N18" s="6" t="s">
        <v>4</v>
      </c>
      <c r="P18" s="4" t="s">
        <v>3</v>
      </c>
      <c r="Q18" s="5" t="s">
        <v>3</v>
      </c>
      <c r="R18" s="5" t="s">
        <v>3</v>
      </c>
      <c r="S18" s="6" t="s">
        <v>4</v>
      </c>
    </row>
    <row r="19" spans="1:19" ht="15.75" thickTop="1" x14ac:dyDescent="0.25">
      <c r="A19" s="88">
        <v>0.01</v>
      </c>
      <c r="B19" s="88">
        <v>3730.2</v>
      </c>
      <c r="C19" s="88">
        <v>0</v>
      </c>
      <c r="D19" s="89">
        <v>1.9199999999999998E-2</v>
      </c>
      <c r="E19"/>
      <c r="F19" s="88">
        <v>0.01</v>
      </c>
      <c r="G19" s="88">
        <v>4476.24</v>
      </c>
      <c r="H19" s="88">
        <v>0</v>
      </c>
      <c r="I19" s="89">
        <v>1.9199999999999998E-2</v>
      </c>
      <c r="K19" s="88">
        <v>0.01</v>
      </c>
      <c r="L19" s="88">
        <v>5222.28</v>
      </c>
      <c r="M19" s="88">
        <v>0</v>
      </c>
      <c r="N19" s="89">
        <v>1.9199999999999998E-2</v>
      </c>
      <c r="P19" s="88">
        <v>0.01</v>
      </c>
      <c r="Q19" s="88">
        <v>5968.32</v>
      </c>
      <c r="R19" s="88">
        <v>0</v>
      </c>
      <c r="S19" s="89">
        <v>1.9199999999999998E-2</v>
      </c>
    </row>
    <row r="20" spans="1:19" x14ac:dyDescent="0.25">
      <c r="A20" s="88">
        <v>3730.21</v>
      </c>
      <c r="B20" s="88">
        <v>31660.25</v>
      </c>
      <c r="C20" s="88">
        <v>71.599999999999994</v>
      </c>
      <c r="D20" s="89">
        <v>6.4000000000000001E-2</v>
      </c>
      <c r="E20"/>
      <c r="F20" s="88">
        <v>4476.25</v>
      </c>
      <c r="G20" s="88">
        <v>37992.300000000003</v>
      </c>
      <c r="H20" s="88">
        <v>85.92</v>
      </c>
      <c r="I20" s="89">
        <v>6.4000000000000001E-2</v>
      </c>
      <c r="K20" s="88">
        <v>5222.29</v>
      </c>
      <c r="L20" s="88">
        <v>44324.35</v>
      </c>
      <c r="M20" s="88">
        <v>100.24</v>
      </c>
      <c r="N20" s="89">
        <v>6.4000000000000001E-2</v>
      </c>
      <c r="P20" s="88">
        <v>5968.33</v>
      </c>
      <c r="Q20" s="88">
        <v>50656.4</v>
      </c>
      <c r="R20" s="88">
        <v>114.56</v>
      </c>
      <c r="S20" s="89">
        <v>6.4000000000000001E-2</v>
      </c>
    </row>
    <row r="21" spans="1:19" x14ac:dyDescent="0.25">
      <c r="A21" s="88">
        <v>31660.26</v>
      </c>
      <c r="B21" s="88">
        <v>55640.05</v>
      </c>
      <c r="C21" s="88">
        <v>1859.15</v>
      </c>
      <c r="D21" s="89">
        <v>0.10880000000000001</v>
      </c>
      <c r="E21"/>
      <c r="F21" s="88">
        <v>37992.31</v>
      </c>
      <c r="G21" s="88">
        <v>66768.06</v>
      </c>
      <c r="H21" s="88">
        <v>2230.98</v>
      </c>
      <c r="I21" s="89">
        <v>0.10880000000000001</v>
      </c>
      <c r="K21" s="88">
        <v>44324.36</v>
      </c>
      <c r="L21" s="88">
        <v>77896.070000000007</v>
      </c>
      <c r="M21" s="88">
        <v>2602.81</v>
      </c>
      <c r="N21" s="89">
        <v>0.10880000000000001</v>
      </c>
      <c r="P21" s="88">
        <v>50656.41</v>
      </c>
      <c r="Q21" s="88">
        <v>89024.08</v>
      </c>
      <c r="R21" s="88">
        <v>2974.64</v>
      </c>
      <c r="S21" s="89">
        <v>0.10880000000000001</v>
      </c>
    </row>
    <row r="22" spans="1:19" x14ac:dyDescent="0.25">
      <c r="A22" s="88">
        <v>55640.06</v>
      </c>
      <c r="B22" s="88">
        <v>64679.1</v>
      </c>
      <c r="C22" s="88">
        <v>4468.1499999999996</v>
      </c>
      <c r="D22" s="89">
        <v>0.16</v>
      </c>
      <c r="E22"/>
      <c r="F22" s="88">
        <v>66768.070000000007</v>
      </c>
      <c r="G22" s="88">
        <v>77614.92</v>
      </c>
      <c r="H22" s="88">
        <v>5361.78</v>
      </c>
      <c r="I22" s="89">
        <v>0.16</v>
      </c>
      <c r="K22" s="88">
        <v>77896.08</v>
      </c>
      <c r="L22" s="88">
        <v>90550.74</v>
      </c>
      <c r="M22" s="88">
        <v>6255.41</v>
      </c>
      <c r="N22" s="89">
        <v>0.16</v>
      </c>
      <c r="P22" s="88">
        <v>89024.09</v>
      </c>
      <c r="Q22" s="88">
        <v>103486.56</v>
      </c>
      <c r="R22" s="88">
        <v>7149.04</v>
      </c>
      <c r="S22" s="89">
        <v>0.16</v>
      </c>
    </row>
    <row r="23" spans="1:19" x14ac:dyDescent="0.25">
      <c r="A23" s="88">
        <v>64679.11</v>
      </c>
      <c r="B23" s="88">
        <v>77438.55</v>
      </c>
      <c r="C23" s="88">
        <v>5914.4</v>
      </c>
      <c r="D23" s="89">
        <v>0.17920000000000003</v>
      </c>
      <c r="E23"/>
      <c r="F23" s="88">
        <v>77614.929999999993</v>
      </c>
      <c r="G23" s="88">
        <v>92926.26</v>
      </c>
      <c r="H23" s="88">
        <v>7097.28</v>
      </c>
      <c r="I23" s="89">
        <v>0.17920000000000003</v>
      </c>
      <c r="K23" s="88">
        <v>90550.75</v>
      </c>
      <c r="L23" s="88">
        <v>108413.97</v>
      </c>
      <c r="M23" s="88">
        <v>8280.16</v>
      </c>
      <c r="N23" s="89">
        <v>0.17920000000000003</v>
      </c>
      <c r="P23" s="88">
        <v>103486.57</v>
      </c>
      <c r="Q23" s="88">
        <v>123901.68</v>
      </c>
      <c r="R23" s="88">
        <v>9463.0400000000009</v>
      </c>
      <c r="S23" s="89">
        <v>0.17920000000000003</v>
      </c>
    </row>
    <row r="24" spans="1:19" x14ac:dyDescent="0.25">
      <c r="A24" s="88">
        <v>77438.559999999998</v>
      </c>
      <c r="B24" s="88">
        <v>156182.45000000001</v>
      </c>
      <c r="C24" s="88">
        <v>8200.9</v>
      </c>
      <c r="D24" s="89">
        <v>0.21359999999999998</v>
      </c>
      <c r="E24"/>
      <c r="F24" s="88">
        <v>92926.27</v>
      </c>
      <c r="G24" s="88">
        <v>187418.94</v>
      </c>
      <c r="H24" s="88">
        <v>9841.08</v>
      </c>
      <c r="I24" s="89">
        <v>0.21359999999999998</v>
      </c>
      <c r="K24" s="88">
        <v>108413.98</v>
      </c>
      <c r="L24" s="88">
        <v>218655.43</v>
      </c>
      <c r="M24" s="88">
        <v>11481.26</v>
      </c>
      <c r="N24" s="89">
        <v>0.21359999999999998</v>
      </c>
      <c r="P24" s="88">
        <v>123901.69</v>
      </c>
      <c r="Q24" s="88">
        <v>249891.92</v>
      </c>
      <c r="R24" s="88">
        <v>13121.44</v>
      </c>
      <c r="S24" s="89">
        <v>0.21359999999999998</v>
      </c>
    </row>
    <row r="25" spans="1:19" x14ac:dyDescent="0.25">
      <c r="A25" s="88">
        <v>156182.46</v>
      </c>
      <c r="B25" s="88">
        <v>246165</v>
      </c>
      <c r="C25" s="88">
        <v>25020.6</v>
      </c>
      <c r="D25" s="89">
        <v>0.23519999999999999</v>
      </c>
      <c r="E25"/>
      <c r="F25" s="88">
        <v>187418.95</v>
      </c>
      <c r="G25" s="88">
        <v>295398</v>
      </c>
      <c r="H25" s="88">
        <v>30024.720000000001</v>
      </c>
      <c r="I25" s="89">
        <v>0.23519999999999999</v>
      </c>
      <c r="K25" s="88">
        <v>218655.44</v>
      </c>
      <c r="L25" s="88">
        <v>344631</v>
      </c>
      <c r="M25" s="88">
        <v>35028.839999999997</v>
      </c>
      <c r="N25" s="89">
        <v>0.23519999999999999</v>
      </c>
      <c r="P25" s="88">
        <v>249891.93</v>
      </c>
      <c r="Q25" s="88">
        <v>393864</v>
      </c>
      <c r="R25" s="88">
        <v>40032.959999999999</v>
      </c>
      <c r="S25" s="89">
        <v>0.23519999999999999</v>
      </c>
    </row>
    <row r="26" spans="1:19" x14ac:dyDescent="0.25">
      <c r="A26" s="88">
        <v>246165.01</v>
      </c>
      <c r="B26" s="88">
        <v>469969.5</v>
      </c>
      <c r="C26" s="88">
        <v>46184.45</v>
      </c>
      <c r="D26" s="89">
        <v>0.3</v>
      </c>
      <c r="E26"/>
      <c r="F26" s="88">
        <v>295398.01</v>
      </c>
      <c r="G26" s="88">
        <v>563963.4</v>
      </c>
      <c r="H26" s="88">
        <v>55421.34</v>
      </c>
      <c r="I26" s="89">
        <v>0.3</v>
      </c>
      <c r="K26" s="88">
        <v>344631.01</v>
      </c>
      <c r="L26" s="88">
        <v>657957.30000000005</v>
      </c>
      <c r="M26" s="88">
        <v>64658.23</v>
      </c>
      <c r="N26" s="89">
        <v>0.3</v>
      </c>
      <c r="P26" s="88">
        <v>393864.01</v>
      </c>
      <c r="Q26" s="88">
        <v>751951.2</v>
      </c>
      <c r="R26" s="88">
        <v>73895.12</v>
      </c>
      <c r="S26" s="89">
        <v>0.3</v>
      </c>
    </row>
    <row r="27" spans="1:19" x14ac:dyDescent="0.25">
      <c r="A27" s="88">
        <v>469969.51</v>
      </c>
      <c r="B27" s="88">
        <v>626626</v>
      </c>
      <c r="C27" s="88">
        <v>113325.85</v>
      </c>
      <c r="D27" s="89">
        <v>0.32</v>
      </c>
      <c r="E27"/>
      <c r="F27" s="88">
        <v>563963.41</v>
      </c>
      <c r="G27" s="88">
        <v>751951.2</v>
      </c>
      <c r="H27" s="88">
        <v>135991.01999999999</v>
      </c>
      <c r="I27" s="89">
        <v>0.32</v>
      </c>
      <c r="K27" s="88">
        <v>657957.31000000006</v>
      </c>
      <c r="L27" s="88">
        <v>877276.4</v>
      </c>
      <c r="M27" s="88">
        <v>158656.19</v>
      </c>
      <c r="N27" s="89">
        <v>0.32</v>
      </c>
      <c r="P27" s="88">
        <v>751951.21</v>
      </c>
      <c r="Q27" s="88">
        <v>1002601.6</v>
      </c>
      <c r="R27" s="88">
        <v>181321.36</v>
      </c>
      <c r="S27" s="89">
        <v>0.32</v>
      </c>
    </row>
    <row r="28" spans="1:19" x14ac:dyDescent="0.25">
      <c r="A28" s="88">
        <v>626626.01</v>
      </c>
      <c r="B28" s="88">
        <v>1879878.05</v>
      </c>
      <c r="C28" s="88">
        <v>163455.9</v>
      </c>
      <c r="D28" s="89">
        <v>0.34</v>
      </c>
      <c r="E28"/>
      <c r="F28" s="88">
        <v>751951.21</v>
      </c>
      <c r="G28" s="88">
        <v>2255853.66</v>
      </c>
      <c r="H28" s="88">
        <v>196147.08</v>
      </c>
      <c r="I28" s="89">
        <v>0.34</v>
      </c>
      <c r="K28" s="88">
        <v>877276.41</v>
      </c>
      <c r="L28" s="88">
        <v>2631829.27</v>
      </c>
      <c r="M28" s="88">
        <v>228838.26</v>
      </c>
      <c r="N28" s="89">
        <v>0.34</v>
      </c>
      <c r="P28" s="88">
        <v>1002601.61</v>
      </c>
      <c r="Q28" s="88">
        <v>3007804.88</v>
      </c>
      <c r="R28" s="88">
        <v>261529.44</v>
      </c>
      <c r="S28" s="89">
        <v>0.34</v>
      </c>
    </row>
    <row r="29" spans="1:19" x14ac:dyDescent="0.25">
      <c r="A29" s="90">
        <v>1879878.06</v>
      </c>
      <c r="B29" s="90" t="s">
        <v>5</v>
      </c>
      <c r="C29" s="90">
        <v>589561.59999999998</v>
      </c>
      <c r="D29" s="91">
        <v>0.35</v>
      </c>
      <c r="E29"/>
      <c r="F29" s="90">
        <v>2255853.67</v>
      </c>
      <c r="G29" s="90" t="s">
        <v>5</v>
      </c>
      <c r="H29" s="90">
        <v>707473.92000000004</v>
      </c>
      <c r="I29" s="91">
        <v>0.35</v>
      </c>
      <c r="K29" s="90">
        <v>2631829.2799999998</v>
      </c>
      <c r="L29" s="90" t="s">
        <v>5</v>
      </c>
      <c r="M29" s="90">
        <v>825386.24</v>
      </c>
      <c r="N29" s="91">
        <v>0.35</v>
      </c>
      <c r="P29" s="90">
        <v>3007804.89</v>
      </c>
      <c r="Q29" s="90" t="s">
        <v>5</v>
      </c>
      <c r="R29" s="90">
        <v>943298.56000000006</v>
      </c>
      <c r="S29" s="91">
        <v>0.35</v>
      </c>
    </row>
    <row r="30" spans="1:19" ht="9" customHeight="1" thickBot="1" x14ac:dyDescent="0.3">
      <c r="R30" s="8">
        <f>C5*12</f>
        <v>171.84</v>
      </c>
    </row>
    <row r="31" spans="1:19" ht="16.5" customHeight="1" thickTop="1" thickBot="1" x14ac:dyDescent="0.3">
      <c r="A31" s="97" t="s">
        <v>14</v>
      </c>
      <c r="B31" s="98"/>
      <c r="C31" s="98"/>
      <c r="D31" s="99"/>
      <c r="F31" s="97" t="s">
        <v>15</v>
      </c>
      <c r="G31" s="98"/>
      <c r="H31" s="98"/>
      <c r="I31" s="99"/>
      <c r="K31" s="97" t="s">
        <v>16</v>
      </c>
      <c r="L31" s="98"/>
      <c r="M31" s="98"/>
      <c r="N31" s="99"/>
      <c r="P31" s="97" t="s">
        <v>17</v>
      </c>
      <c r="Q31" s="98"/>
      <c r="R31" s="98"/>
      <c r="S31" s="99"/>
    </row>
    <row r="32" spans="1:19" ht="15.75" thickTop="1" x14ac:dyDescent="0.25">
      <c r="A32" s="1" t="s">
        <v>0</v>
      </c>
      <c r="B32" s="2" t="s">
        <v>1</v>
      </c>
      <c r="C32" s="2" t="s">
        <v>2</v>
      </c>
      <c r="D32" s="3" t="s">
        <v>18</v>
      </c>
      <c r="F32" s="1" t="s">
        <v>0</v>
      </c>
      <c r="G32" s="2" t="s">
        <v>1</v>
      </c>
      <c r="H32" s="2" t="s">
        <v>2</v>
      </c>
      <c r="I32" s="3" t="s">
        <v>18</v>
      </c>
      <c r="K32" s="1" t="s">
        <v>0</v>
      </c>
      <c r="L32" s="2" t="s">
        <v>1</v>
      </c>
      <c r="M32" s="2" t="s">
        <v>2</v>
      </c>
      <c r="N32" s="3" t="s">
        <v>18</v>
      </c>
      <c r="P32" s="1" t="s">
        <v>0</v>
      </c>
      <c r="Q32" s="2" t="s">
        <v>1</v>
      </c>
      <c r="R32" s="2" t="s">
        <v>2</v>
      </c>
      <c r="S32" s="3" t="s">
        <v>18</v>
      </c>
    </row>
    <row r="33" spans="1:19" ht="15.75" thickBot="1" x14ac:dyDescent="0.3">
      <c r="A33" s="4" t="s">
        <v>3</v>
      </c>
      <c r="B33" s="5" t="s">
        <v>3</v>
      </c>
      <c r="C33" s="5" t="s">
        <v>3</v>
      </c>
      <c r="D33" s="6" t="s">
        <v>4</v>
      </c>
      <c r="F33" s="4" t="s">
        <v>3</v>
      </c>
      <c r="G33" s="5" t="s">
        <v>3</v>
      </c>
      <c r="H33" s="5" t="s">
        <v>3</v>
      </c>
      <c r="I33" s="6" t="s">
        <v>4</v>
      </c>
      <c r="K33" s="4" t="s">
        <v>3</v>
      </c>
      <c r="L33" s="5" t="s">
        <v>3</v>
      </c>
      <c r="M33" s="5" t="s">
        <v>3</v>
      </c>
      <c r="N33" s="6" t="s">
        <v>4</v>
      </c>
      <c r="P33" s="4" t="s">
        <v>3</v>
      </c>
      <c r="Q33" s="5" t="s">
        <v>3</v>
      </c>
      <c r="R33" s="5" t="s">
        <v>3</v>
      </c>
      <c r="S33" s="6" t="s">
        <v>4</v>
      </c>
    </row>
    <row r="34" spans="1:19" ht="15.75" thickTop="1" x14ac:dyDescent="0.25">
      <c r="A34" s="88">
        <v>0.01</v>
      </c>
      <c r="B34" s="88">
        <v>6714.36</v>
      </c>
      <c r="C34" s="88">
        <v>0</v>
      </c>
      <c r="D34" s="89">
        <v>1.9199999999999998E-2</v>
      </c>
      <c r="F34" s="88">
        <v>0.01</v>
      </c>
      <c r="G34" s="88">
        <v>7460.4</v>
      </c>
      <c r="H34" s="88">
        <v>0</v>
      </c>
      <c r="I34" s="89">
        <v>1.9199999999999998E-2</v>
      </c>
      <c r="K34" s="88">
        <v>0.01</v>
      </c>
      <c r="L34" s="88">
        <v>8206.44</v>
      </c>
      <c r="M34" s="88">
        <v>0</v>
      </c>
      <c r="N34" s="89">
        <v>1.9199999999999998E-2</v>
      </c>
      <c r="P34" s="88">
        <v>0.01</v>
      </c>
      <c r="Q34" s="88">
        <v>8952.49</v>
      </c>
      <c r="R34" s="88">
        <v>0</v>
      </c>
      <c r="S34" s="89">
        <v>1.9199999999999998E-2</v>
      </c>
    </row>
    <row r="35" spans="1:19" x14ac:dyDescent="0.25">
      <c r="A35" s="88">
        <v>6714.37</v>
      </c>
      <c r="B35" s="88">
        <v>56988.45</v>
      </c>
      <c r="C35" s="88">
        <v>128.88</v>
      </c>
      <c r="D35" s="89">
        <v>6.4000000000000001E-2</v>
      </c>
      <c r="F35" s="88">
        <v>7460.41</v>
      </c>
      <c r="G35" s="88">
        <v>63320.5</v>
      </c>
      <c r="H35" s="88">
        <v>143.19999999999999</v>
      </c>
      <c r="I35" s="89">
        <v>6.4000000000000001E-2</v>
      </c>
      <c r="K35" s="88">
        <v>8206.4500000000007</v>
      </c>
      <c r="L35" s="88">
        <v>69652.55</v>
      </c>
      <c r="M35" s="88">
        <v>157.52000000000001</v>
      </c>
      <c r="N35" s="89">
        <v>6.4000000000000001E-2</v>
      </c>
      <c r="P35" s="88">
        <v>8952.5</v>
      </c>
      <c r="Q35" s="88">
        <v>75984.55</v>
      </c>
      <c r="R35" s="88">
        <v>171.88</v>
      </c>
      <c r="S35" s="89">
        <v>6.4000000000000001E-2</v>
      </c>
    </row>
    <row r="36" spans="1:19" x14ac:dyDescent="0.25">
      <c r="A36" s="88">
        <v>56988.46</v>
      </c>
      <c r="B36" s="88">
        <v>100152.09</v>
      </c>
      <c r="C36" s="88">
        <v>3346.47</v>
      </c>
      <c r="D36" s="89">
        <v>0.10880000000000001</v>
      </c>
      <c r="F36" s="88">
        <v>63320.51</v>
      </c>
      <c r="G36" s="88">
        <v>111280.1</v>
      </c>
      <c r="H36" s="88">
        <v>3718.3</v>
      </c>
      <c r="I36" s="89">
        <v>0.10880000000000001</v>
      </c>
      <c r="K36" s="88">
        <v>69652.56</v>
      </c>
      <c r="L36" s="88">
        <v>122408.11</v>
      </c>
      <c r="M36" s="88">
        <v>4090.13</v>
      </c>
      <c r="N36" s="89">
        <v>0.10880000000000001</v>
      </c>
      <c r="P36" s="88">
        <v>75984.56</v>
      </c>
      <c r="Q36" s="88">
        <v>133536.07</v>
      </c>
      <c r="R36" s="88">
        <v>4461.9399999999996</v>
      </c>
      <c r="S36" s="89">
        <v>0.10880000000000001</v>
      </c>
    </row>
    <row r="37" spans="1:19" x14ac:dyDescent="0.25">
      <c r="A37" s="88">
        <v>100152.1</v>
      </c>
      <c r="B37" s="88">
        <v>116422.38</v>
      </c>
      <c r="C37" s="88">
        <v>8042.67</v>
      </c>
      <c r="D37" s="89">
        <v>0.16</v>
      </c>
      <c r="F37" s="88">
        <v>111280.11</v>
      </c>
      <c r="G37" s="88">
        <v>129358.2</v>
      </c>
      <c r="H37" s="88">
        <v>8936.2999999999993</v>
      </c>
      <c r="I37" s="89">
        <v>0.16</v>
      </c>
      <c r="K37" s="88">
        <v>122408.12</v>
      </c>
      <c r="L37" s="88">
        <v>142294.01999999999</v>
      </c>
      <c r="M37" s="88">
        <v>9829.93</v>
      </c>
      <c r="N37" s="89">
        <v>0.16</v>
      </c>
      <c r="P37" s="88">
        <v>133536.07999999999</v>
      </c>
      <c r="Q37" s="88">
        <v>155229.79999999999</v>
      </c>
      <c r="R37" s="88">
        <v>10723.55</v>
      </c>
      <c r="S37" s="89">
        <v>0.16</v>
      </c>
    </row>
    <row r="38" spans="1:19" x14ac:dyDescent="0.25">
      <c r="A38" s="88">
        <v>116422.39</v>
      </c>
      <c r="B38" s="88">
        <v>139389.39000000001</v>
      </c>
      <c r="C38" s="88">
        <v>10645.92</v>
      </c>
      <c r="D38" s="89">
        <v>0.17920000000000003</v>
      </c>
      <c r="F38" s="88">
        <v>129358.21</v>
      </c>
      <c r="G38" s="88">
        <v>154877.1</v>
      </c>
      <c r="H38" s="88">
        <v>11828.8</v>
      </c>
      <c r="I38" s="89">
        <v>0.17920000000000003</v>
      </c>
      <c r="K38" s="88">
        <v>142294.03</v>
      </c>
      <c r="L38" s="88">
        <v>170364.81</v>
      </c>
      <c r="M38" s="88">
        <v>13011.68</v>
      </c>
      <c r="N38" s="89">
        <v>0.17920000000000003</v>
      </c>
      <c r="P38" s="88">
        <v>155229.81</v>
      </c>
      <c r="Q38" s="88">
        <v>185852.57</v>
      </c>
      <c r="R38" s="88">
        <v>14194.54</v>
      </c>
      <c r="S38" s="89">
        <v>0.17920000000000003</v>
      </c>
    </row>
    <row r="39" spans="1:19" x14ac:dyDescent="0.25">
      <c r="A39" s="88">
        <v>139389.4</v>
      </c>
      <c r="B39" s="88">
        <v>281128.40999999997</v>
      </c>
      <c r="C39" s="88">
        <v>14761.62</v>
      </c>
      <c r="D39" s="89">
        <v>0.21359999999999998</v>
      </c>
      <c r="F39" s="88">
        <v>154877.10999999999</v>
      </c>
      <c r="G39" s="88">
        <v>312364.90000000002</v>
      </c>
      <c r="H39" s="88">
        <v>16401.8</v>
      </c>
      <c r="I39" s="89">
        <v>0.21359999999999998</v>
      </c>
      <c r="K39" s="88">
        <v>170364.82</v>
      </c>
      <c r="L39" s="88">
        <v>343601.39</v>
      </c>
      <c r="M39" s="88">
        <v>18041.98</v>
      </c>
      <c r="N39" s="89">
        <v>0.21359999999999998</v>
      </c>
      <c r="P39" s="88">
        <v>185852.58</v>
      </c>
      <c r="Q39" s="88">
        <v>374837.88</v>
      </c>
      <c r="R39" s="88">
        <v>19682.13</v>
      </c>
      <c r="S39" s="89">
        <v>0.21359999999999998</v>
      </c>
    </row>
    <row r="40" spans="1:19" x14ac:dyDescent="0.25">
      <c r="A40" s="88">
        <v>281128.42</v>
      </c>
      <c r="B40" s="88">
        <v>443097</v>
      </c>
      <c r="C40" s="88">
        <v>45037.08</v>
      </c>
      <c r="D40" s="89">
        <v>0.23519999999999999</v>
      </c>
      <c r="F40" s="88">
        <v>312364.90999999997</v>
      </c>
      <c r="G40" s="88">
        <v>492330</v>
      </c>
      <c r="H40" s="88">
        <v>50041.2</v>
      </c>
      <c r="I40" s="89">
        <v>0.23519999999999999</v>
      </c>
      <c r="K40" s="88">
        <v>343601.4</v>
      </c>
      <c r="L40" s="88">
        <v>541563</v>
      </c>
      <c r="M40" s="88">
        <v>55045.32</v>
      </c>
      <c r="N40" s="89">
        <v>0.23519999999999999</v>
      </c>
      <c r="P40" s="88">
        <v>374837.89</v>
      </c>
      <c r="Q40" s="88">
        <v>590795.99</v>
      </c>
      <c r="R40" s="88">
        <v>60049.4</v>
      </c>
      <c r="S40" s="89">
        <v>0.23519999999999999</v>
      </c>
    </row>
    <row r="41" spans="1:19" x14ac:dyDescent="0.25">
      <c r="A41" s="88">
        <v>443097.01</v>
      </c>
      <c r="B41" s="88">
        <v>845945.1</v>
      </c>
      <c r="C41" s="88">
        <v>83132.009999999995</v>
      </c>
      <c r="D41" s="89">
        <v>0.3</v>
      </c>
      <c r="F41" s="88">
        <v>492330.01</v>
      </c>
      <c r="G41" s="88">
        <v>939939</v>
      </c>
      <c r="H41" s="88">
        <v>92368.9</v>
      </c>
      <c r="I41" s="89">
        <v>0.3</v>
      </c>
      <c r="K41" s="88">
        <v>541563.01</v>
      </c>
      <c r="L41" s="88">
        <v>1033932.9</v>
      </c>
      <c r="M41" s="88">
        <v>101605.79</v>
      </c>
      <c r="N41" s="89">
        <v>0.3</v>
      </c>
      <c r="P41" s="88">
        <v>590796</v>
      </c>
      <c r="Q41" s="88">
        <v>1127926.8400000001</v>
      </c>
      <c r="R41" s="88">
        <v>110842.74</v>
      </c>
      <c r="S41" s="89">
        <v>0.3</v>
      </c>
    </row>
    <row r="42" spans="1:19" x14ac:dyDescent="0.25">
      <c r="A42" s="88">
        <v>845945.11</v>
      </c>
      <c r="B42" s="88">
        <v>1127926.8</v>
      </c>
      <c r="C42" s="88">
        <v>203986.53</v>
      </c>
      <c r="D42" s="89">
        <v>0.32</v>
      </c>
      <c r="F42" s="88">
        <v>939939.01</v>
      </c>
      <c r="G42" s="88">
        <v>1253252</v>
      </c>
      <c r="H42" s="88">
        <v>226651.7</v>
      </c>
      <c r="I42" s="89">
        <v>0.32</v>
      </c>
      <c r="K42" s="88">
        <v>1033932.91</v>
      </c>
      <c r="L42" s="88">
        <v>1378577.2</v>
      </c>
      <c r="M42" s="88">
        <v>249316.87</v>
      </c>
      <c r="N42" s="89">
        <v>0.32</v>
      </c>
      <c r="P42" s="88">
        <v>1127926.8500000001</v>
      </c>
      <c r="Q42" s="88">
        <v>1503902.46</v>
      </c>
      <c r="R42" s="88">
        <v>271981.99</v>
      </c>
      <c r="S42" s="89">
        <v>0.32</v>
      </c>
    </row>
    <row r="43" spans="1:19" x14ac:dyDescent="0.25">
      <c r="A43" s="88">
        <v>1127926.81</v>
      </c>
      <c r="B43" s="88">
        <v>3383780.49</v>
      </c>
      <c r="C43" s="88">
        <v>294220.62</v>
      </c>
      <c r="D43" s="89">
        <v>0.34</v>
      </c>
      <c r="F43" s="88">
        <v>1253252.01</v>
      </c>
      <c r="G43" s="88">
        <v>3759756.1</v>
      </c>
      <c r="H43" s="88">
        <v>326911.8</v>
      </c>
      <c r="I43" s="89">
        <v>0.34</v>
      </c>
      <c r="K43" s="88">
        <v>1378577.21</v>
      </c>
      <c r="L43" s="88">
        <v>4135731.71</v>
      </c>
      <c r="M43" s="88">
        <v>359602.98</v>
      </c>
      <c r="N43" s="89">
        <v>0.34</v>
      </c>
      <c r="P43" s="88">
        <v>1503902.47</v>
      </c>
      <c r="Q43" s="88">
        <v>4511707.37</v>
      </c>
      <c r="R43" s="88">
        <v>392294.17</v>
      </c>
      <c r="S43" s="89">
        <v>0.34</v>
      </c>
    </row>
    <row r="44" spans="1:19" x14ac:dyDescent="0.25">
      <c r="A44" s="90">
        <v>3383780.5</v>
      </c>
      <c r="B44" s="90" t="s">
        <v>5</v>
      </c>
      <c r="C44" s="90">
        <v>1061210.8799999999</v>
      </c>
      <c r="D44" s="91">
        <v>0.35</v>
      </c>
      <c r="F44" s="90">
        <v>3759756.11</v>
      </c>
      <c r="G44" s="90" t="s">
        <v>5</v>
      </c>
      <c r="H44" s="90">
        <v>1179123.2</v>
      </c>
      <c r="I44" s="91">
        <v>0.35</v>
      </c>
      <c r="K44" s="90">
        <v>4135731.72</v>
      </c>
      <c r="L44" s="90" t="s">
        <v>5</v>
      </c>
      <c r="M44" s="90">
        <v>1297035.52</v>
      </c>
      <c r="N44" s="91">
        <v>0.35</v>
      </c>
      <c r="P44" s="90">
        <v>4511707.38</v>
      </c>
      <c r="Q44" s="90" t="s">
        <v>5</v>
      </c>
      <c r="R44" s="90">
        <v>1414947.85</v>
      </c>
      <c r="S44" s="91">
        <v>0.35</v>
      </c>
    </row>
    <row r="45" spans="1:19" s="7" customFormat="1" ht="7.5" customHeight="1" x14ac:dyDescent="0.25"/>
  </sheetData>
  <mergeCells count="12">
    <mergeCell ref="F31:I31"/>
    <mergeCell ref="K31:N31"/>
    <mergeCell ref="A31:D31"/>
    <mergeCell ref="P31:S31"/>
    <mergeCell ref="A1:D1"/>
    <mergeCell ref="F1:I1"/>
    <mergeCell ref="K1:N1"/>
    <mergeCell ref="P1:S1"/>
    <mergeCell ref="A16:D16"/>
    <mergeCell ref="F16:I16"/>
    <mergeCell ref="K16:N16"/>
    <mergeCell ref="P16:S16"/>
  </mergeCells>
  <pageMargins left="0.7" right="0.7" top="0.75" bottom="0.75" header="0.3" footer="0.3"/>
  <pageSetup scale="95" orientation="portrait" verticalDpi="30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tabSelected="1" zoomScaleNormal="10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B32" sqref="B32"/>
    </sheetView>
  </sheetViews>
  <sheetFormatPr baseColWidth="10" defaultColWidth="11.42578125" defaultRowHeight="12.75" zeroHeight="1" x14ac:dyDescent="0.2"/>
  <cols>
    <col min="1" max="1" width="11.42578125" style="10"/>
    <col min="2" max="2" width="49.85546875" style="10" bestFit="1" customWidth="1"/>
    <col min="3" max="6" width="14.7109375" style="10" customWidth="1"/>
    <col min="7" max="7" width="11.28515625" style="10" bestFit="1" customWidth="1"/>
    <col min="8" max="14" width="14.7109375" style="10" customWidth="1"/>
    <col min="15" max="15" width="0.5703125" style="10" customWidth="1"/>
    <col min="16" max="16" width="12.85546875" style="10" bestFit="1" customWidth="1"/>
    <col min="17" max="21" width="0" style="10" hidden="1" customWidth="1"/>
    <col min="22" max="23" width="17.7109375" style="10" bestFit="1" customWidth="1"/>
    <col min="24" max="16384" width="11.42578125" style="10"/>
  </cols>
  <sheetData>
    <row r="1" spans="1:25" ht="15.75" x14ac:dyDescent="0.25">
      <c r="A1" s="9"/>
      <c r="B1" s="9"/>
      <c r="C1" s="66"/>
      <c r="D1" s="66"/>
      <c r="E1" s="95"/>
      <c r="F1" s="66"/>
      <c r="G1" s="66"/>
      <c r="H1" s="66"/>
      <c r="I1" s="66"/>
      <c r="J1" s="66"/>
      <c r="K1" s="66"/>
      <c r="L1" s="66"/>
      <c r="M1" s="66"/>
    </row>
    <row r="2" spans="1:25" ht="15.75" x14ac:dyDescent="0.25">
      <c r="A2" s="11" t="s">
        <v>71</v>
      </c>
      <c r="B2" s="11"/>
      <c r="C2" s="66"/>
      <c r="D2" s="65"/>
      <c r="E2" s="94"/>
      <c r="F2" s="66"/>
      <c r="G2" s="65"/>
      <c r="H2" s="66"/>
      <c r="I2" s="66"/>
      <c r="J2" s="66"/>
      <c r="K2" s="66"/>
      <c r="L2" s="66"/>
      <c r="M2" s="66"/>
      <c r="N2" s="65"/>
      <c r="Y2" s="10">
        <v>11948</v>
      </c>
    </row>
    <row r="3" spans="1:25" ht="15.75" x14ac:dyDescent="0.25">
      <c r="A3" s="11" t="s">
        <v>46</v>
      </c>
      <c r="B3" s="11"/>
      <c r="C3" s="66"/>
      <c r="D3" s="66"/>
      <c r="E3" s="94"/>
      <c r="F3" s="66"/>
      <c r="G3" s="66"/>
      <c r="H3" s="66"/>
      <c r="I3" s="66"/>
      <c r="J3" s="66"/>
      <c r="K3" s="66"/>
      <c r="L3" s="66"/>
      <c r="M3" s="66"/>
      <c r="N3" s="65"/>
      <c r="P3" s="34"/>
      <c r="Y3" s="10">
        <v>16000</v>
      </c>
    </row>
    <row r="4" spans="1:25" ht="15" x14ac:dyDescent="0.2">
      <c r="A4" s="11" t="s">
        <v>149</v>
      </c>
      <c r="B4" s="1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5"/>
      <c r="Y4" s="10">
        <f>+Y2+Y3</f>
        <v>27948</v>
      </c>
    </row>
    <row r="5" spans="1:25" ht="15" x14ac:dyDescent="0.2">
      <c r="A5" s="11" t="s">
        <v>151</v>
      </c>
      <c r="B5" s="11"/>
      <c r="C5" s="66"/>
      <c r="D5" s="66"/>
      <c r="E5" s="66"/>
      <c r="F5" s="66"/>
      <c r="G5" s="34"/>
      <c r="H5" s="66"/>
      <c r="I5" s="66"/>
      <c r="J5" s="66"/>
      <c r="K5" s="96"/>
      <c r="L5" s="66"/>
      <c r="M5" s="66"/>
      <c r="N5" s="65"/>
    </row>
    <row r="6" spans="1:25" x14ac:dyDescent="0.2">
      <c r="B6" s="12"/>
      <c r="C6" s="66"/>
      <c r="D6" s="66"/>
      <c r="E6" s="66"/>
      <c r="F6" s="66"/>
      <c r="G6" s="34"/>
      <c r="H6" s="34"/>
      <c r="I6" s="34"/>
      <c r="J6" s="34"/>
      <c r="K6" s="34"/>
      <c r="L6" s="34"/>
      <c r="M6" s="34"/>
      <c r="N6" s="34"/>
      <c r="V6" s="66"/>
    </row>
    <row r="7" spans="1:25" x14ac:dyDescent="0.2">
      <c r="A7" s="13" t="s">
        <v>68</v>
      </c>
      <c r="B7" s="13" t="s">
        <v>34</v>
      </c>
      <c r="C7" s="14" t="s">
        <v>19</v>
      </c>
      <c r="D7" s="13" t="s">
        <v>20</v>
      </c>
      <c r="E7" s="14" t="s">
        <v>21</v>
      </c>
      <c r="F7" s="13" t="s">
        <v>22</v>
      </c>
      <c r="G7" s="14" t="s">
        <v>23</v>
      </c>
      <c r="H7" s="13" t="s">
        <v>24</v>
      </c>
      <c r="I7" s="14" t="s">
        <v>25</v>
      </c>
      <c r="J7" s="13" t="s">
        <v>26</v>
      </c>
      <c r="K7" s="14" t="s">
        <v>27</v>
      </c>
      <c r="L7" s="13" t="s">
        <v>28</v>
      </c>
      <c r="M7" s="14" t="s">
        <v>29</v>
      </c>
      <c r="N7" s="13" t="s">
        <v>30</v>
      </c>
      <c r="P7" s="13" t="s">
        <v>119</v>
      </c>
      <c r="Q7" s="10" t="str">
        <f t="shared" ref="Q7:R12" si="0">A7</f>
        <v>cuenta</v>
      </c>
      <c r="R7" s="10" t="str">
        <f t="shared" si="0"/>
        <v>Concepto</v>
      </c>
    </row>
    <row r="8" spans="1:25" ht="15" x14ac:dyDescent="0.25">
      <c r="A8" s="15" t="s">
        <v>69</v>
      </c>
      <c r="B8" s="15" t="s">
        <v>153</v>
      </c>
      <c r="C8" s="16"/>
      <c r="D8" s="17"/>
      <c r="E8" s="16"/>
      <c r="F8" s="17"/>
      <c r="G8" s="92"/>
      <c r="H8" s="93"/>
      <c r="I8" s="16"/>
      <c r="J8" s="17"/>
      <c r="K8" s="16"/>
      <c r="L8" s="17"/>
      <c r="M8" s="16"/>
      <c r="N8" s="17"/>
      <c r="P8" s="34">
        <f>SUM(C8:N8)</f>
        <v>0</v>
      </c>
      <c r="Q8" s="10" t="str">
        <f t="shared" si="0"/>
        <v>400-001-000</v>
      </c>
      <c r="R8" s="10" t="str">
        <f t="shared" si="0"/>
        <v xml:space="preserve">Ingresos de la Actividad Efectivamente cobrados </v>
      </c>
      <c r="V8" s="34">
        <f>+P8-L8</f>
        <v>0</v>
      </c>
    </row>
    <row r="9" spans="1:25" x14ac:dyDescent="0.2">
      <c r="A9" s="15" t="s">
        <v>70</v>
      </c>
      <c r="B9" s="15" t="s">
        <v>154</v>
      </c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P9" s="34">
        <f>SUM(C9:N9)</f>
        <v>0</v>
      </c>
      <c r="Q9" s="10" t="str">
        <f t="shared" si="0"/>
        <v>400-002-000</v>
      </c>
      <c r="R9" s="10" t="str">
        <f t="shared" si="0"/>
        <v>Ingresos por Servicios Efectivamente Cobrados</v>
      </c>
    </row>
    <row r="10" spans="1:25" x14ac:dyDescent="0.2">
      <c r="A10" s="15" t="s">
        <v>72</v>
      </c>
      <c r="B10" s="15" t="s">
        <v>155</v>
      </c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P10" s="34">
        <f>SUM(C10:N10)</f>
        <v>0</v>
      </c>
      <c r="Q10" s="10" t="str">
        <f t="shared" si="0"/>
        <v>410-000-000</v>
      </c>
      <c r="R10" s="10" t="str">
        <f t="shared" si="0"/>
        <v>Ingresos por Productos Financieros Efectivamente Cobrados</v>
      </c>
    </row>
    <row r="11" spans="1:25" x14ac:dyDescent="0.2">
      <c r="A11" s="15" t="s">
        <v>73</v>
      </c>
      <c r="B11" s="15" t="s">
        <v>74</v>
      </c>
      <c r="C11" s="16"/>
      <c r="D11" s="17"/>
      <c r="E11" s="16"/>
      <c r="F11" s="17"/>
      <c r="G11" s="16"/>
      <c r="H11" s="17"/>
      <c r="I11" s="16"/>
      <c r="J11" s="17"/>
      <c r="K11" s="16"/>
      <c r="L11" s="17"/>
      <c r="M11" s="16"/>
      <c r="N11" s="17"/>
      <c r="P11" s="34">
        <f>SUM(C11:N11)</f>
        <v>0</v>
      </c>
      <c r="Q11" s="10" t="str">
        <f t="shared" si="0"/>
        <v>415-002-001</v>
      </c>
      <c r="R11" s="10" t="str">
        <f t="shared" si="0"/>
        <v>No identificados</v>
      </c>
      <c r="V11" s="34"/>
    </row>
    <row r="12" spans="1:25" x14ac:dyDescent="0.2">
      <c r="A12" s="15" t="s">
        <v>75</v>
      </c>
      <c r="B12" s="15" t="s">
        <v>76</v>
      </c>
      <c r="C12" s="16"/>
      <c r="D12" s="17"/>
      <c r="E12" s="16"/>
      <c r="F12" s="17"/>
      <c r="G12" s="16"/>
      <c r="H12" s="17"/>
      <c r="I12" s="16"/>
      <c r="J12" s="17"/>
      <c r="K12" s="16"/>
      <c r="L12" s="17"/>
      <c r="M12" s="16"/>
      <c r="N12" s="17"/>
      <c r="P12" s="34">
        <f>SUM(C12:N12)</f>
        <v>0</v>
      </c>
      <c r="Q12" s="10" t="str">
        <f t="shared" si="0"/>
        <v>415-003-001</v>
      </c>
      <c r="R12" s="10" t="str">
        <f t="shared" si="0"/>
        <v>Otros Ingresos</v>
      </c>
      <c r="V12" s="34"/>
    </row>
    <row r="13" spans="1:25" x14ac:dyDescent="0.2">
      <c r="A13" s="18"/>
      <c r="B13" s="18" t="s">
        <v>31</v>
      </c>
      <c r="C13" s="19">
        <f>SUM(C8:C12)</f>
        <v>0</v>
      </c>
      <c r="D13" s="20">
        <f t="shared" ref="D13:N13" si="1">SUM(D8:D12)</f>
        <v>0</v>
      </c>
      <c r="E13" s="19">
        <f>SUM(E8:E12)</f>
        <v>0</v>
      </c>
      <c r="F13" s="20">
        <f t="shared" si="1"/>
        <v>0</v>
      </c>
      <c r="G13" s="19">
        <f>SUM(G8:G12)</f>
        <v>0</v>
      </c>
      <c r="H13" s="20">
        <f t="shared" si="1"/>
        <v>0</v>
      </c>
      <c r="I13" s="19">
        <f t="shared" si="1"/>
        <v>0</v>
      </c>
      <c r="J13" s="20">
        <f t="shared" si="1"/>
        <v>0</v>
      </c>
      <c r="K13" s="19">
        <f t="shared" si="1"/>
        <v>0</v>
      </c>
      <c r="L13" s="20">
        <f t="shared" si="1"/>
        <v>0</v>
      </c>
      <c r="M13" s="19">
        <f t="shared" si="1"/>
        <v>0</v>
      </c>
      <c r="N13" s="20">
        <f t="shared" si="1"/>
        <v>0</v>
      </c>
      <c r="P13" s="20">
        <f>SUM(P8:P12)</f>
        <v>0</v>
      </c>
      <c r="R13" s="10" t="str">
        <f t="shared" ref="R13:R42" si="2">B13</f>
        <v>Total Ingresos</v>
      </c>
      <c r="V13" s="34"/>
      <c r="W13" s="34">
        <v>174600</v>
      </c>
      <c r="X13" s="66">
        <v>207000</v>
      </c>
      <c r="Y13" s="34">
        <f>+X13-W13</f>
        <v>32400</v>
      </c>
    </row>
    <row r="14" spans="1:25" x14ac:dyDescent="0.2">
      <c r="B14" s="2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P14" s="65"/>
      <c r="Q14" s="34"/>
      <c r="R14" s="10">
        <f t="shared" si="2"/>
        <v>0</v>
      </c>
      <c r="V14" s="66"/>
      <c r="W14" s="66"/>
      <c r="X14" s="66"/>
      <c r="Y14" s="66"/>
    </row>
    <row r="15" spans="1:25" x14ac:dyDescent="0.2">
      <c r="A15" s="13" t="s">
        <v>68</v>
      </c>
      <c r="B15" s="13" t="s">
        <v>32</v>
      </c>
      <c r="C15" s="14"/>
      <c r="D15" s="13"/>
      <c r="E15" s="14"/>
      <c r="F15" s="13"/>
      <c r="G15" s="14"/>
      <c r="H15" s="13"/>
      <c r="I15" s="14"/>
      <c r="J15" s="13"/>
      <c r="K15" s="14"/>
      <c r="L15" s="13"/>
      <c r="M15" s="14"/>
      <c r="N15" s="13"/>
      <c r="P15" s="13"/>
      <c r="Q15" s="10" t="str">
        <f t="shared" ref="Q15:Q43" si="3">A15</f>
        <v>cuenta</v>
      </c>
      <c r="R15" s="10" t="str">
        <f t="shared" si="2"/>
        <v>Deducciones Autorizadas</v>
      </c>
      <c r="V15" s="66"/>
      <c r="X15" s="66"/>
    </row>
    <row r="16" spans="1:25" x14ac:dyDescent="0.2">
      <c r="A16" s="10" t="s">
        <v>77</v>
      </c>
      <c r="B16" s="15" t="s">
        <v>78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P16" s="34">
        <f>SUM(C16:N16)</f>
        <v>0</v>
      </c>
      <c r="Q16" s="10" t="str">
        <f t="shared" si="3"/>
        <v>505-001-000</v>
      </c>
      <c r="R16" s="10" t="str">
        <f t="shared" si="2"/>
        <v>Costos por Ingresos</v>
      </c>
      <c r="V16" s="34"/>
    </row>
    <row r="17" spans="1:18" x14ac:dyDescent="0.2">
      <c r="A17" s="10" t="s">
        <v>79</v>
      </c>
      <c r="B17" s="15" t="s">
        <v>80</v>
      </c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P17" s="34">
        <f t="shared" ref="P17:P42" si="4">SUM(C17:N17)</f>
        <v>0</v>
      </c>
      <c r="Q17" s="10" t="str">
        <f t="shared" si="3"/>
        <v>510-001-000</v>
      </c>
      <c r="R17" s="10" t="str">
        <f t="shared" si="2"/>
        <v>Sueldos y Salarios</v>
      </c>
    </row>
    <row r="18" spans="1:18" x14ac:dyDescent="0.2">
      <c r="A18" s="10" t="s">
        <v>81</v>
      </c>
      <c r="B18" s="15" t="s">
        <v>82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P18" s="34">
        <f t="shared" si="4"/>
        <v>0</v>
      </c>
      <c r="Q18" s="10" t="str">
        <f t="shared" si="3"/>
        <v>510-002-000</v>
      </c>
      <c r="R18" s="10" t="str">
        <f t="shared" si="2"/>
        <v>Premio de Puntualidad yAsistencia</v>
      </c>
    </row>
    <row r="19" spans="1:18" x14ac:dyDescent="0.2">
      <c r="A19" s="10" t="s">
        <v>83</v>
      </c>
      <c r="B19" s="15" t="s">
        <v>84</v>
      </c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P19" s="34">
        <f t="shared" si="4"/>
        <v>0</v>
      </c>
      <c r="Q19" s="10" t="str">
        <f t="shared" si="3"/>
        <v>510-003-000</v>
      </c>
      <c r="R19" s="10" t="str">
        <f t="shared" si="2"/>
        <v>Horas Extras</v>
      </c>
    </row>
    <row r="20" spans="1:18" x14ac:dyDescent="0.2">
      <c r="A20" s="10" t="s">
        <v>85</v>
      </c>
      <c r="B20" s="15" t="s">
        <v>86</v>
      </c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P20" s="34">
        <f t="shared" si="4"/>
        <v>0</v>
      </c>
      <c r="Q20" s="10" t="str">
        <f t="shared" si="3"/>
        <v>510-004-000</v>
      </c>
      <c r="R20" s="10" t="str">
        <f t="shared" si="2"/>
        <v>Indemnizaciones</v>
      </c>
    </row>
    <row r="21" spans="1:18" x14ac:dyDescent="0.2">
      <c r="A21" s="10" t="s">
        <v>88</v>
      </c>
      <c r="B21" s="15" t="s">
        <v>87</v>
      </c>
      <c r="C21" s="16"/>
      <c r="D21" s="17"/>
      <c r="E21" s="16"/>
      <c r="F21" s="17"/>
      <c r="G21" s="16"/>
      <c r="H21" s="17"/>
      <c r="I21" s="16"/>
      <c r="J21" s="17"/>
      <c r="K21" s="16"/>
      <c r="L21" s="17"/>
      <c r="M21" s="16"/>
      <c r="N21" s="17"/>
      <c r="P21" s="34">
        <f t="shared" si="4"/>
        <v>0</v>
      </c>
      <c r="Q21" s="10" t="str">
        <f t="shared" si="3"/>
        <v>510-005-000</v>
      </c>
      <c r="R21" s="10" t="str">
        <f t="shared" si="2"/>
        <v>Aguinaldos</v>
      </c>
    </row>
    <row r="22" spans="1:18" x14ac:dyDescent="0.2">
      <c r="A22" s="10" t="s">
        <v>89</v>
      </c>
      <c r="B22" s="15" t="s">
        <v>90</v>
      </c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P22" s="34">
        <f t="shared" si="4"/>
        <v>0</v>
      </c>
      <c r="Q22" s="10" t="str">
        <f t="shared" si="3"/>
        <v>510-006-000</v>
      </c>
      <c r="R22" s="10" t="str">
        <f t="shared" si="2"/>
        <v>Vacaciones</v>
      </c>
    </row>
    <row r="23" spans="1:18" x14ac:dyDescent="0.2">
      <c r="A23" s="10" t="s">
        <v>91</v>
      </c>
      <c r="B23" s="15" t="s">
        <v>92</v>
      </c>
      <c r="C23" s="16"/>
      <c r="D23" s="17"/>
      <c r="E23" s="16"/>
      <c r="F23" s="17"/>
      <c r="G23" s="16"/>
      <c r="H23" s="17"/>
      <c r="I23" s="16"/>
      <c r="J23" s="17"/>
      <c r="K23" s="16"/>
      <c r="L23" s="17"/>
      <c r="M23" s="16"/>
      <c r="N23" s="17"/>
      <c r="P23" s="34">
        <f t="shared" si="4"/>
        <v>0</v>
      </c>
      <c r="Q23" s="10" t="str">
        <f t="shared" si="3"/>
        <v>510-007-000</v>
      </c>
      <c r="R23" s="10" t="str">
        <f t="shared" si="2"/>
        <v>Prima Vacacional</v>
      </c>
    </row>
    <row r="24" spans="1:18" x14ac:dyDescent="0.2">
      <c r="A24" s="10" t="s">
        <v>93</v>
      </c>
      <c r="B24" s="15" t="s">
        <v>94</v>
      </c>
      <c r="C24" s="16"/>
      <c r="D24" s="17"/>
      <c r="E24" s="16"/>
      <c r="F24" s="17"/>
      <c r="G24" s="16"/>
      <c r="H24" s="17"/>
      <c r="I24" s="16"/>
      <c r="J24" s="17"/>
      <c r="K24" s="16"/>
      <c r="L24" s="17"/>
      <c r="M24" s="16"/>
      <c r="N24" s="17"/>
      <c r="P24" s="34">
        <f t="shared" si="4"/>
        <v>0</v>
      </c>
      <c r="Q24" s="10" t="str">
        <f t="shared" si="3"/>
        <v>510-010-000</v>
      </c>
      <c r="R24" s="10" t="str">
        <f t="shared" si="2"/>
        <v>Primas de Seguros</v>
      </c>
    </row>
    <row r="25" spans="1:18" x14ac:dyDescent="0.2">
      <c r="A25" s="10" t="s">
        <v>95</v>
      </c>
      <c r="B25" s="15" t="s">
        <v>96</v>
      </c>
      <c r="C25" s="16"/>
      <c r="D25" s="17"/>
      <c r="E25" s="16"/>
      <c r="F25" s="17"/>
      <c r="G25" s="16"/>
      <c r="H25" s="17"/>
      <c r="I25" s="16"/>
      <c r="J25" s="17"/>
      <c r="K25" s="16"/>
      <c r="L25" s="17"/>
      <c r="M25" s="16"/>
      <c r="N25" s="17"/>
      <c r="P25" s="34">
        <f t="shared" si="4"/>
        <v>0</v>
      </c>
      <c r="Q25" s="10" t="str">
        <f t="shared" si="3"/>
        <v>510-011-000</v>
      </c>
      <c r="R25" s="10" t="str">
        <f t="shared" si="2"/>
        <v>Energia Electrica</v>
      </c>
    </row>
    <row r="26" spans="1:18" x14ac:dyDescent="0.2">
      <c r="A26" s="10" t="s">
        <v>97</v>
      </c>
      <c r="B26" s="15" t="s">
        <v>98</v>
      </c>
      <c r="C26" s="16"/>
      <c r="D26" s="17"/>
      <c r="E26" s="16"/>
      <c r="F26" s="17"/>
      <c r="G26" s="16"/>
      <c r="H26" s="17"/>
      <c r="I26" s="16"/>
      <c r="J26" s="17"/>
      <c r="K26" s="16"/>
      <c r="L26" s="17"/>
      <c r="M26" s="16"/>
      <c r="N26" s="17"/>
      <c r="P26" s="34">
        <f t="shared" si="4"/>
        <v>0</v>
      </c>
      <c r="Q26" s="10" t="str">
        <f t="shared" si="3"/>
        <v>510-013-000</v>
      </c>
      <c r="R26" s="10" t="str">
        <f t="shared" si="2"/>
        <v>Papeleria y Utiles de Escritorio</v>
      </c>
    </row>
    <row r="27" spans="1:18" x14ac:dyDescent="0.2">
      <c r="A27" s="10" t="s">
        <v>133</v>
      </c>
      <c r="B27" s="15" t="s">
        <v>134</v>
      </c>
      <c r="D27" s="17"/>
      <c r="E27" s="16"/>
      <c r="F27" s="17"/>
      <c r="G27" s="16"/>
      <c r="H27" s="17"/>
      <c r="I27" s="16"/>
      <c r="J27" s="17"/>
      <c r="K27" s="16"/>
      <c r="L27" s="17"/>
      <c r="M27" s="16"/>
      <c r="N27" s="17"/>
      <c r="P27" s="34">
        <f t="shared" si="4"/>
        <v>0</v>
      </c>
      <c r="Q27" s="10" t="str">
        <f t="shared" si="3"/>
        <v>510-014-000</v>
      </c>
      <c r="R27" s="10" t="str">
        <f t="shared" si="2"/>
        <v>Fletes y Acarreos</v>
      </c>
    </row>
    <row r="28" spans="1:18" x14ac:dyDescent="0.2">
      <c r="A28" s="10" t="s">
        <v>99</v>
      </c>
      <c r="B28" s="15" t="s">
        <v>100</v>
      </c>
      <c r="C28" s="16"/>
      <c r="D28" s="17"/>
      <c r="E28" s="16"/>
      <c r="F28" s="17"/>
      <c r="G28" s="16"/>
      <c r="H28" s="17"/>
      <c r="I28" s="16"/>
      <c r="J28" s="17"/>
      <c r="K28" s="16"/>
      <c r="L28" s="17"/>
      <c r="M28" s="16"/>
      <c r="N28" s="17"/>
      <c r="P28" s="34">
        <f t="shared" si="4"/>
        <v>0</v>
      </c>
      <c r="Q28" s="10" t="str">
        <f t="shared" si="3"/>
        <v>510-016-000</v>
      </c>
      <c r="R28" s="10" t="str">
        <f t="shared" si="2"/>
        <v>Telefonos</v>
      </c>
    </row>
    <row r="29" spans="1:18" x14ac:dyDescent="0.2">
      <c r="A29" s="10" t="s">
        <v>127</v>
      </c>
      <c r="B29" s="15" t="s">
        <v>128</v>
      </c>
      <c r="C29" s="16"/>
      <c r="D29" s="17"/>
      <c r="E29" s="16"/>
      <c r="F29" s="17"/>
      <c r="G29" s="16"/>
      <c r="H29" s="17"/>
      <c r="I29" s="16"/>
      <c r="J29" s="17"/>
      <c r="K29" s="16"/>
      <c r="L29" s="17"/>
      <c r="M29" s="16"/>
      <c r="N29" s="17"/>
      <c r="P29" s="34">
        <f t="shared" si="4"/>
        <v>0</v>
      </c>
      <c r="Q29" s="10" t="str">
        <f t="shared" si="3"/>
        <v>510-017-000</v>
      </c>
      <c r="R29" s="10" t="str">
        <f t="shared" si="2"/>
        <v>Mensajeria</v>
      </c>
    </row>
    <row r="30" spans="1:18" x14ac:dyDescent="0.2">
      <c r="A30" s="10" t="s">
        <v>129</v>
      </c>
      <c r="B30" s="15" t="s">
        <v>130</v>
      </c>
      <c r="C30" s="16"/>
      <c r="D30" s="17"/>
      <c r="E30" s="16"/>
      <c r="F30" s="17"/>
      <c r="G30" s="16"/>
      <c r="H30" s="17"/>
      <c r="I30" s="16"/>
      <c r="J30" s="17"/>
      <c r="K30" s="16"/>
      <c r="L30" s="17"/>
      <c r="M30" s="16"/>
      <c r="N30" s="17"/>
      <c r="P30" s="34">
        <f t="shared" si="4"/>
        <v>0</v>
      </c>
      <c r="Q30" s="10" t="str">
        <f t="shared" si="3"/>
        <v>510-018-000</v>
      </c>
      <c r="R30" s="10" t="str">
        <f t="shared" si="2"/>
        <v>Gastos de Viaje</v>
      </c>
    </row>
    <row r="31" spans="1:18" x14ac:dyDescent="0.2">
      <c r="A31" s="10" t="s">
        <v>131</v>
      </c>
      <c r="B31" s="15" t="s">
        <v>132</v>
      </c>
      <c r="C31" s="16"/>
      <c r="D31" s="17"/>
      <c r="E31" s="16"/>
      <c r="F31" s="17"/>
      <c r="G31" s="16"/>
      <c r="H31" s="17"/>
      <c r="I31" s="16"/>
      <c r="J31" s="17"/>
      <c r="K31" s="16"/>
      <c r="L31" s="17"/>
      <c r="M31" s="16"/>
      <c r="N31" s="17"/>
      <c r="P31" s="34">
        <f t="shared" si="4"/>
        <v>0</v>
      </c>
      <c r="Q31" s="10" t="str">
        <f t="shared" si="3"/>
        <v>510-019-000</v>
      </c>
      <c r="R31" s="10" t="str">
        <f t="shared" si="2"/>
        <v>Gastos Varios</v>
      </c>
    </row>
    <row r="32" spans="1:18" x14ac:dyDescent="0.2">
      <c r="A32" s="10" t="s">
        <v>101</v>
      </c>
      <c r="B32" s="15" t="s">
        <v>102</v>
      </c>
      <c r="C32" s="68"/>
      <c r="D32" s="17"/>
      <c r="E32" s="16"/>
      <c r="F32" s="17"/>
      <c r="G32" s="16"/>
      <c r="H32" s="17"/>
      <c r="I32" s="16"/>
      <c r="J32" s="17"/>
      <c r="K32" s="16"/>
      <c r="L32" s="17"/>
      <c r="M32" s="16"/>
      <c r="N32" s="17"/>
      <c r="P32" s="34">
        <f t="shared" si="4"/>
        <v>0</v>
      </c>
      <c r="Q32" s="10" t="str">
        <f t="shared" si="3"/>
        <v>510-020-000</v>
      </c>
      <c r="R32" s="10" t="str">
        <f t="shared" si="2"/>
        <v>Honorarios</v>
      </c>
    </row>
    <row r="33" spans="1:24" x14ac:dyDescent="0.2">
      <c r="A33" s="10" t="s">
        <v>103</v>
      </c>
      <c r="B33" s="15" t="s">
        <v>104</v>
      </c>
      <c r="C33" s="16"/>
      <c r="D33" s="17"/>
      <c r="E33" s="16"/>
      <c r="F33" s="17"/>
      <c r="G33" s="16"/>
      <c r="H33" s="17"/>
      <c r="I33" s="16"/>
      <c r="J33" s="17"/>
      <c r="K33" s="16"/>
      <c r="L33" s="17"/>
      <c r="M33" s="16"/>
      <c r="N33" s="17"/>
      <c r="P33" s="34">
        <f t="shared" si="4"/>
        <v>0</v>
      </c>
      <c r="Q33" s="10" t="str">
        <f t="shared" si="3"/>
        <v>510-021-000</v>
      </c>
      <c r="R33" s="10" t="str">
        <f t="shared" si="2"/>
        <v>Combustibles y lubricantes</v>
      </c>
    </row>
    <row r="34" spans="1:24" x14ac:dyDescent="0.2">
      <c r="A34" s="10" t="s">
        <v>105</v>
      </c>
      <c r="B34" s="15" t="s">
        <v>106</v>
      </c>
      <c r="C34" s="16"/>
      <c r="D34" s="17"/>
      <c r="E34" s="16"/>
      <c r="F34" s="17"/>
      <c r="G34" s="16"/>
      <c r="H34" s="17"/>
      <c r="I34" s="16"/>
      <c r="J34" s="17"/>
      <c r="K34" s="16"/>
      <c r="L34" s="17"/>
      <c r="M34" s="16"/>
      <c r="N34" s="17"/>
      <c r="P34" s="34">
        <f t="shared" si="4"/>
        <v>0</v>
      </c>
      <c r="Q34" s="10" t="str">
        <f t="shared" si="3"/>
        <v>510-022-000</v>
      </c>
      <c r="R34" s="10" t="str">
        <f t="shared" si="2"/>
        <v>Mantenimiento de Equipo de Transporte</v>
      </c>
    </row>
    <row r="35" spans="1:24" x14ac:dyDescent="0.2">
      <c r="A35" s="10" t="s">
        <v>107</v>
      </c>
      <c r="B35" s="15" t="s">
        <v>112</v>
      </c>
      <c r="C35" s="16"/>
      <c r="D35" s="17"/>
      <c r="E35" s="16"/>
      <c r="F35" s="17"/>
      <c r="G35" s="16"/>
      <c r="H35" s="17"/>
      <c r="I35" s="16"/>
      <c r="J35" s="17"/>
      <c r="K35" s="16"/>
      <c r="L35" s="17"/>
      <c r="M35" s="16"/>
      <c r="N35" s="17"/>
      <c r="P35" s="34">
        <f t="shared" si="4"/>
        <v>0</v>
      </c>
      <c r="Q35" s="10" t="str">
        <f t="shared" si="3"/>
        <v>510-024-000</v>
      </c>
      <c r="R35" s="10" t="str">
        <f t="shared" si="2"/>
        <v>Limpieza</v>
      </c>
    </row>
    <row r="36" spans="1:24" x14ac:dyDescent="0.2">
      <c r="A36" s="10" t="s">
        <v>108</v>
      </c>
      <c r="B36" s="15" t="s">
        <v>109</v>
      </c>
      <c r="C36" s="16"/>
      <c r="D36" s="17"/>
      <c r="E36" s="16"/>
      <c r="F36" s="17"/>
      <c r="G36" s="16"/>
      <c r="H36" s="17"/>
      <c r="I36" s="16"/>
      <c r="J36" s="17"/>
      <c r="K36" s="16"/>
      <c r="L36" s="17"/>
      <c r="M36" s="16"/>
      <c r="N36" s="17"/>
      <c r="P36" s="34">
        <f t="shared" si="4"/>
        <v>0</v>
      </c>
      <c r="Q36" s="10" t="str">
        <f t="shared" si="3"/>
        <v>600-001-000</v>
      </c>
      <c r="R36" s="10" t="str">
        <f t="shared" si="2"/>
        <v>Deduccion de Inversiones</v>
      </c>
    </row>
    <row r="37" spans="1:24" x14ac:dyDescent="0.2">
      <c r="A37" s="10" t="s">
        <v>110</v>
      </c>
      <c r="B37" s="15" t="s">
        <v>111</v>
      </c>
      <c r="C37" s="16"/>
      <c r="D37" s="17"/>
      <c r="E37" s="16"/>
      <c r="F37" s="17"/>
      <c r="G37" s="16"/>
      <c r="H37" s="17"/>
      <c r="I37" s="16"/>
      <c r="J37" s="17"/>
      <c r="K37" s="16"/>
      <c r="L37" s="17"/>
      <c r="M37" s="16"/>
      <c r="N37" s="17"/>
      <c r="P37" s="34">
        <f t="shared" si="4"/>
        <v>0</v>
      </c>
      <c r="Q37" s="10" t="str">
        <f t="shared" si="3"/>
        <v>705-001-000</v>
      </c>
      <c r="R37" s="10" t="str">
        <f t="shared" si="2"/>
        <v>Comisiones e Intereses Bancarios</v>
      </c>
    </row>
    <row r="38" spans="1:24" x14ac:dyDescent="0.2">
      <c r="A38" s="10" t="s">
        <v>113</v>
      </c>
      <c r="B38" s="15" t="s">
        <v>114</v>
      </c>
      <c r="C38" s="16"/>
      <c r="D38" s="17"/>
      <c r="E38" s="16"/>
      <c r="F38" s="17"/>
      <c r="G38" s="16"/>
      <c r="H38" s="17"/>
      <c r="I38" s="16"/>
      <c r="J38" s="17"/>
      <c r="K38" s="16"/>
      <c r="L38" s="17"/>
      <c r="M38" s="16"/>
      <c r="N38" s="17"/>
      <c r="P38" s="34">
        <f t="shared" si="4"/>
        <v>0</v>
      </c>
      <c r="Q38" s="10" t="str">
        <f t="shared" si="3"/>
        <v>210-001-003</v>
      </c>
      <c r="R38" s="10" t="str">
        <f t="shared" si="2"/>
        <v>Impuesto sobre Nomina</v>
      </c>
    </row>
    <row r="39" spans="1:24" x14ac:dyDescent="0.2">
      <c r="A39" s="10" t="s">
        <v>115</v>
      </c>
      <c r="B39" s="15" t="s">
        <v>116</v>
      </c>
      <c r="C39" s="16"/>
      <c r="D39" s="17"/>
      <c r="E39" s="16"/>
      <c r="F39" s="17"/>
      <c r="G39" s="16"/>
      <c r="H39" s="17"/>
      <c r="I39" s="16"/>
      <c r="J39" s="17"/>
      <c r="K39" s="16"/>
      <c r="L39" s="17"/>
      <c r="M39" s="16"/>
      <c r="N39" s="17"/>
      <c r="P39" s="34">
        <f t="shared" si="4"/>
        <v>0</v>
      </c>
      <c r="Q39" s="10" t="str">
        <f t="shared" si="3"/>
        <v>210-001-004</v>
      </c>
      <c r="R39" s="10" t="str">
        <f t="shared" si="2"/>
        <v>Cuotas IMSS</v>
      </c>
    </row>
    <row r="40" spans="1:24" x14ac:dyDescent="0.2">
      <c r="A40" s="10" t="s">
        <v>113</v>
      </c>
      <c r="B40" s="15" t="s">
        <v>117</v>
      </c>
      <c r="C40" s="16"/>
      <c r="D40" s="17"/>
      <c r="E40" s="16"/>
      <c r="F40" s="17"/>
      <c r="G40" s="16"/>
      <c r="H40" s="17"/>
      <c r="I40" s="16"/>
      <c r="J40" s="17"/>
      <c r="K40" s="16"/>
      <c r="L40" s="17"/>
      <c r="M40" s="16"/>
      <c r="N40" s="17"/>
      <c r="P40" s="34">
        <f t="shared" si="4"/>
        <v>0</v>
      </c>
      <c r="Q40" s="10" t="str">
        <f t="shared" si="3"/>
        <v>210-001-003</v>
      </c>
      <c r="R40" s="10" t="str">
        <f t="shared" si="2"/>
        <v>5% Infonavit</v>
      </c>
      <c r="V40" s="66"/>
      <c r="W40" s="66"/>
      <c r="X40" s="34"/>
    </row>
    <row r="41" spans="1:24" x14ac:dyDescent="0.2">
      <c r="A41" s="10" t="s">
        <v>113</v>
      </c>
      <c r="B41" s="15" t="s">
        <v>118</v>
      </c>
      <c r="C41" s="16"/>
      <c r="D41" s="17"/>
      <c r="E41" s="16"/>
      <c r="F41" s="17"/>
      <c r="G41" s="16"/>
      <c r="H41" s="17"/>
      <c r="I41" s="16"/>
      <c r="J41" s="17"/>
      <c r="K41" s="16"/>
      <c r="L41" s="17"/>
      <c r="M41" s="16"/>
      <c r="N41" s="17"/>
      <c r="P41" s="34">
        <f t="shared" si="4"/>
        <v>0</v>
      </c>
      <c r="Q41" s="10" t="str">
        <f t="shared" si="3"/>
        <v>210-001-003</v>
      </c>
      <c r="R41" s="10" t="str">
        <f t="shared" si="2"/>
        <v>SAR</v>
      </c>
      <c r="V41" s="66"/>
      <c r="W41" s="66"/>
    </row>
    <row r="42" spans="1:24" x14ac:dyDescent="0.2">
      <c r="B42" s="15" t="s">
        <v>143</v>
      </c>
      <c r="C42" s="16"/>
      <c r="D42" s="17"/>
      <c r="E42" s="16"/>
      <c r="F42" s="17"/>
      <c r="G42" s="16"/>
      <c r="H42" s="17"/>
      <c r="I42" s="16"/>
      <c r="J42" s="17"/>
      <c r="K42" s="16"/>
      <c r="L42" s="17"/>
      <c r="M42" s="16"/>
      <c r="N42" s="17"/>
      <c r="P42" s="34">
        <f t="shared" si="4"/>
        <v>0</v>
      </c>
      <c r="Q42" s="10">
        <f t="shared" si="3"/>
        <v>0</v>
      </c>
      <c r="R42" s="10" t="str">
        <f t="shared" si="2"/>
        <v xml:space="preserve">Renta </v>
      </c>
      <c r="V42" s="66"/>
      <c r="W42" s="66"/>
    </row>
    <row r="43" spans="1:24" x14ac:dyDescent="0.2">
      <c r="A43" s="18"/>
      <c r="B43" s="22" t="s">
        <v>33</v>
      </c>
      <c r="C43" s="22">
        <f>SUM(C16:C42)-C31</f>
        <v>0</v>
      </c>
      <c r="D43" s="22">
        <f>SUM(D16:D42)-D31</f>
        <v>0</v>
      </c>
      <c r="E43" s="22">
        <f t="shared" ref="E43:H43" si="5">SUM(E16:E42)-E31</f>
        <v>0</v>
      </c>
      <c r="F43" s="22">
        <f t="shared" si="5"/>
        <v>0</v>
      </c>
      <c r="G43" s="22">
        <f t="shared" si="5"/>
        <v>0</v>
      </c>
      <c r="H43" s="22">
        <f t="shared" si="5"/>
        <v>0</v>
      </c>
      <c r="I43" s="22">
        <f t="shared" ref="I43:N43" si="6">SUM(I16:I42)</f>
        <v>0</v>
      </c>
      <c r="J43" s="22">
        <f t="shared" si="6"/>
        <v>0</v>
      </c>
      <c r="K43" s="22">
        <f t="shared" si="6"/>
        <v>0</v>
      </c>
      <c r="L43" s="22">
        <f t="shared" si="6"/>
        <v>0</v>
      </c>
      <c r="M43" s="22">
        <f>SUM(M16:M42)</f>
        <v>0</v>
      </c>
      <c r="N43" s="22">
        <f t="shared" si="6"/>
        <v>0</v>
      </c>
      <c r="O43" s="46"/>
      <c r="P43" s="22">
        <f>SUM(P16:P42)</f>
        <v>0</v>
      </c>
      <c r="Q43" s="10">
        <f t="shared" si="3"/>
        <v>0</v>
      </c>
      <c r="V43" s="66">
        <f>+P43-N43</f>
        <v>0</v>
      </c>
      <c r="W43" s="66">
        <f>+P43+P45</f>
        <v>0</v>
      </c>
    </row>
    <row r="44" spans="1:24" x14ac:dyDescent="0.2">
      <c r="B44" s="21"/>
      <c r="C44" s="43"/>
      <c r="D44" s="61"/>
      <c r="E44" s="21"/>
      <c r="F44" s="21"/>
      <c r="G44" s="21"/>
      <c r="H44" s="21"/>
      <c r="I44" s="21"/>
      <c r="J44" s="43"/>
      <c r="K44" s="21"/>
      <c r="L44" s="21"/>
      <c r="M44" s="21"/>
      <c r="N44" s="21"/>
      <c r="Q44" s="34"/>
      <c r="R44" s="34"/>
      <c r="V44" s="66"/>
      <c r="W44" s="66"/>
    </row>
    <row r="45" spans="1:24" x14ac:dyDescent="0.2">
      <c r="A45" s="18"/>
      <c r="B45" s="22" t="s">
        <v>126</v>
      </c>
      <c r="C45" s="22">
        <v>0</v>
      </c>
      <c r="D45" s="22">
        <v>0</v>
      </c>
      <c r="E45" s="22">
        <v>0</v>
      </c>
      <c r="F45" s="22"/>
      <c r="G45" s="22"/>
      <c r="H45" s="22"/>
      <c r="I45" s="22"/>
      <c r="J45" s="22"/>
      <c r="K45" s="22"/>
      <c r="L45" s="22"/>
      <c r="M45" s="22"/>
      <c r="N45" s="22"/>
      <c r="O45" s="46"/>
      <c r="P45" s="22">
        <f>SUM(C45:N45)</f>
        <v>0</v>
      </c>
      <c r="V45" s="66"/>
      <c r="W45" s="66"/>
    </row>
    <row r="46" spans="1:24" x14ac:dyDescent="0.2">
      <c r="B46" s="21"/>
      <c r="C46" s="43"/>
      <c r="D46" s="61"/>
      <c r="E46" s="21"/>
      <c r="F46" s="21"/>
      <c r="G46" s="21"/>
      <c r="H46" s="21"/>
      <c r="I46" s="43"/>
      <c r="J46" s="21"/>
      <c r="K46" s="21"/>
      <c r="L46" s="21"/>
      <c r="M46" s="21"/>
      <c r="N46" s="21"/>
      <c r="V46" s="66"/>
      <c r="W46" s="66"/>
    </row>
    <row r="47" spans="1:24" x14ac:dyDescent="0.2">
      <c r="B47" s="23" t="s">
        <v>35</v>
      </c>
      <c r="C47" s="24">
        <f>C13-C43-C45</f>
        <v>0</v>
      </c>
      <c r="D47" s="24">
        <f t="shared" ref="D47:M47" si="7">D13-D43-D45</f>
        <v>0</v>
      </c>
      <c r="E47" s="24">
        <f>E13-E43-E45</f>
        <v>0</v>
      </c>
      <c r="F47" s="24">
        <f>F13-F43-F45</f>
        <v>0</v>
      </c>
      <c r="G47" s="24">
        <f t="shared" si="7"/>
        <v>0</v>
      </c>
      <c r="H47" s="24">
        <f t="shared" si="7"/>
        <v>0</v>
      </c>
      <c r="I47" s="24">
        <f>I13-I43-I45</f>
        <v>0</v>
      </c>
      <c r="J47" s="24">
        <f t="shared" si="7"/>
        <v>0</v>
      </c>
      <c r="K47" s="24">
        <f t="shared" si="7"/>
        <v>0</v>
      </c>
      <c r="L47" s="24">
        <f t="shared" si="7"/>
        <v>0</v>
      </c>
      <c r="M47" s="24">
        <f t="shared" si="7"/>
        <v>0</v>
      </c>
      <c r="N47" s="24">
        <f>N13-N43-N45</f>
        <v>0</v>
      </c>
      <c r="P47" s="34">
        <f>P13-P43-P45</f>
        <v>0</v>
      </c>
      <c r="V47" s="66" t="s">
        <v>135</v>
      </c>
      <c r="W47" s="66"/>
    </row>
    <row r="48" spans="1:24" x14ac:dyDescent="0.2">
      <c r="B48" s="23" t="s">
        <v>36</v>
      </c>
      <c r="C48" s="24">
        <v>0</v>
      </c>
      <c r="D48" s="24">
        <f>C49</f>
        <v>0</v>
      </c>
      <c r="E48" s="24">
        <f>D49</f>
        <v>0</v>
      </c>
      <c r="F48" s="24">
        <f>E49</f>
        <v>0</v>
      </c>
      <c r="G48" s="24">
        <f>F49</f>
        <v>0</v>
      </c>
      <c r="H48" s="24">
        <f t="shared" ref="H48:N48" si="8">G49</f>
        <v>0</v>
      </c>
      <c r="I48" s="24">
        <f t="shared" si="8"/>
        <v>0</v>
      </c>
      <c r="J48" s="24">
        <f t="shared" si="8"/>
        <v>0</v>
      </c>
      <c r="K48" s="24">
        <f t="shared" si="8"/>
        <v>0</v>
      </c>
      <c r="L48" s="24">
        <f t="shared" si="8"/>
        <v>0</v>
      </c>
      <c r="M48" s="24">
        <f t="shared" si="8"/>
        <v>0</v>
      </c>
      <c r="N48" s="24">
        <f t="shared" si="8"/>
        <v>0</v>
      </c>
    </row>
    <row r="49" spans="2:15" x14ac:dyDescent="0.2">
      <c r="B49" s="18" t="s">
        <v>37</v>
      </c>
      <c r="C49" s="25">
        <f>C47+C48</f>
        <v>0</v>
      </c>
      <c r="D49" s="25">
        <f t="shared" ref="D49:N49" si="9">D47+D48</f>
        <v>0</v>
      </c>
      <c r="E49" s="25">
        <f t="shared" si="9"/>
        <v>0</v>
      </c>
      <c r="F49" s="25">
        <f t="shared" si="9"/>
        <v>0</v>
      </c>
      <c r="G49" s="25">
        <f t="shared" si="9"/>
        <v>0</v>
      </c>
      <c r="H49" s="25">
        <f t="shared" si="9"/>
        <v>0</v>
      </c>
      <c r="I49" s="25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</row>
    <row r="50" spans="2:1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5" x14ac:dyDescent="0.2">
      <c r="B51" s="26" t="s">
        <v>38</v>
      </c>
      <c r="C51" s="27" t="str">
        <f>IFERROR(VLOOKUP($C$49,Enero,1),"")</f>
        <v/>
      </c>
      <c r="D51" s="27" t="str">
        <f>IFERROR(VLOOKUP($D$49,Febrero,1),"")</f>
        <v/>
      </c>
      <c r="E51" s="27" t="str">
        <f>IFERROR(VLOOKUP($E$49,Marzo,1),"")</f>
        <v/>
      </c>
      <c r="F51" s="27" t="str">
        <f>IFERROR(VLOOKUP($F$49,Abril,1),"")</f>
        <v/>
      </c>
      <c r="G51" s="27" t="str">
        <f>IFERROR(VLOOKUP($G$49,Mayo,1),"")</f>
        <v/>
      </c>
      <c r="H51" s="27" t="str">
        <f>IFERROR(VLOOKUP($H$49,Junio,1),"")</f>
        <v/>
      </c>
      <c r="I51" s="27" t="str">
        <f>IFERROR(VLOOKUP($I$49,Julio,1),"")</f>
        <v/>
      </c>
      <c r="J51" s="27" t="str">
        <f>IFERROR(VLOOKUP($J$49,Agosto,1),"")</f>
        <v/>
      </c>
      <c r="K51" s="27" t="str">
        <f>IFERROR(VLOOKUP($K$49,Septiembre,1),"")</f>
        <v/>
      </c>
      <c r="L51" s="27" t="str">
        <f>IFERROR(VLOOKUP($L$49,Octubre,1),"")</f>
        <v/>
      </c>
      <c r="M51" s="27" t="str">
        <f>IFERROR(VLOOKUP($M$49,Noviembre,1),"")</f>
        <v/>
      </c>
      <c r="N51" s="27" t="str">
        <f>IFERROR(VLOOKUP($N$49,Diciembre,1),"")</f>
        <v/>
      </c>
    </row>
    <row r="52" spans="2:15" x14ac:dyDescent="0.2">
      <c r="B52" s="28" t="s">
        <v>39</v>
      </c>
      <c r="C52" s="29" t="str">
        <f>IFERROR(C49-C51,"")</f>
        <v/>
      </c>
      <c r="D52" s="29" t="str">
        <f>IFERROR(D49-D51,"")</f>
        <v/>
      </c>
      <c r="E52" s="29" t="str">
        <f t="shared" ref="E52:L52" si="10">IFERROR(E49-E51,"")</f>
        <v/>
      </c>
      <c r="F52" s="29" t="str">
        <f t="shared" si="10"/>
        <v/>
      </c>
      <c r="G52" s="29" t="str">
        <f t="shared" si="10"/>
        <v/>
      </c>
      <c r="H52" s="29" t="str">
        <f t="shared" si="10"/>
        <v/>
      </c>
      <c r="I52" s="29" t="str">
        <f t="shared" si="10"/>
        <v/>
      </c>
      <c r="J52" s="29" t="str">
        <f t="shared" si="10"/>
        <v/>
      </c>
      <c r="K52" s="29" t="str">
        <f t="shared" si="10"/>
        <v/>
      </c>
      <c r="L52" s="29" t="str">
        <f t="shared" si="10"/>
        <v/>
      </c>
      <c r="M52" s="29" t="str">
        <f>IFERROR(M49-M51,"")</f>
        <v/>
      </c>
      <c r="N52" s="29" t="str">
        <f>IFERROR(N49-N51,"")</f>
        <v/>
      </c>
    </row>
    <row r="53" spans="2:15" x14ac:dyDescent="0.2">
      <c r="B53" s="26" t="s">
        <v>40</v>
      </c>
      <c r="C53" s="30" t="str">
        <f>IFERROR(VLOOKUP($C$49,Enero,4),"")</f>
        <v/>
      </c>
      <c r="D53" s="30" t="str">
        <f>IFERROR(VLOOKUP($D$49,Febrero,4),"")</f>
        <v/>
      </c>
      <c r="E53" s="30" t="str">
        <f>IFERROR(VLOOKUP($E$49,Marzo,4),"")</f>
        <v/>
      </c>
      <c r="F53" s="30" t="str">
        <f>IFERROR(VLOOKUP($F$49,Abril,4),"")</f>
        <v/>
      </c>
      <c r="G53" s="30" t="str">
        <f>IFERROR(VLOOKUP($G$49,Mayo,4),"")</f>
        <v/>
      </c>
      <c r="H53" s="30" t="str">
        <f>IFERROR(VLOOKUP($H$49,Junio,4),"")</f>
        <v/>
      </c>
      <c r="I53" s="30" t="str">
        <f>IFERROR(VLOOKUP($I$49,Julio,4),"")</f>
        <v/>
      </c>
      <c r="J53" s="30" t="str">
        <f>IFERROR(VLOOKUP($J$49,Agosto,4),"")</f>
        <v/>
      </c>
      <c r="K53" s="30" t="str">
        <f>IFERROR(VLOOKUP($K$49,Septiembre,4),"")</f>
        <v/>
      </c>
      <c r="L53" s="30" t="str">
        <f>IFERROR(VLOOKUP($L$49,Octubre,4),"")</f>
        <v/>
      </c>
      <c r="M53" s="30" t="str">
        <f>IFERROR(VLOOKUP($M$49,Noviembre,4),"")</f>
        <v/>
      </c>
      <c r="N53" s="30" t="str">
        <f>IFERROR(VLOOKUP($N$49,Diciembre,4),"")</f>
        <v/>
      </c>
    </row>
    <row r="54" spans="2:15" x14ac:dyDescent="0.2">
      <c r="B54" s="28" t="s">
        <v>41</v>
      </c>
      <c r="C54" s="29" t="str">
        <f>IFERROR(C52*C53,"")</f>
        <v/>
      </c>
      <c r="D54" s="29" t="str">
        <f>IFERROR(D52*D53,"")</f>
        <v/>
      </c>
      <c r="E54" s="29" t="str">
        <f t="shared" ref="E54:K54" si="11">IFERROR(E52*E53,"")</f>
        <v/>
      </c>
      <c r="F54" s="29" t="str">
        <f t="shared" si="11"/>
        <v/>
      </c>
      <c r="G54" s="29" t="str">
        <f t="shared" si="11"/>
        <v/>
      </c>
      <c r="H54" s="29" t="str">
        <f t="shared" si="11"/>
        <v/>
      </c>
      <c r="I54" s="29" t="str">
        <f t="shared" si="11"/>
        <v/>
      </c>
      <c r="J54" s="29" t="str">
        <f t="shared" si="11"/>
        <v/>
      </c>
      <c r="K54" s="29" t="str">
        <f t="shared" si="11"/>
        <v/>
      </c>
      <c r="L54" s="29" t="str">
        <f>IFERROR(L52*L53,"")</f>
        <v/>
      </c>
      <c r="M54" s="29" t="str">
        <f>IFERROR(M52*M53,"")</f>
        <v/>
      </c>
      <c r="N54" s="29" t="str">
        <f>IFERROR(N52*N53,"")</f>
        <v/>
      </c>
    </row>
    <row r="55" spans="2:15" x14ac:dyDescent="0.2">
      <c r="B55" s="26" t="s">
        <v>42</v>
      </c>
      <c r="C55" s="27" t="str">
        <f>IFERROR(VLOOKUP($C$49,Enero,3),"")</f>
        <v/>
      </c>
      <c r="D55" s="27" t="str">
        <f>IFERROR(VLOOKUP($D$49,Febrero,3),"")</f>
        <v/>
      </c>
      <c r="E55" s="27" t="str">
        <f>IFERROR(VLOOKUP($E$49,Marzo,3),"")</f>
        <v/>
      </c>
      <c r="F55" s="27" t="str">
        <f>IFERROR(VLOOKUP($F$49,Abril,3),"")</f>
        <v/>
      </c>
      <c r="G55" s="27" t="str">
        <f>IFERROR(VLOOKUP($G$49,Mayo,3),"")</f>
        <v/>
      </c>
      <c r="H55" s="27" t="str">
        <f>IFERROR(VLOOKUP($H$49,Junio,3),"")</f>
        <v/>
      </c>
      <c r="I55" s="27" t="str">
        <f>IFERROR(VLOOKUP($I$49,Julio,3),"")</f>
        <v/>
      </c>
      <c r="J55" s="27" t="str">
        <f>IFERROR(VLOOKUP($J$49,Agosto,3),"")</f>
        <v/>
      </c>
      <c r="K55" s="27" t="str">
        <f>IFERROR(VLOOKUP($K$49,Septiembre,3),"")</f>
        <v/>
      </c>
      <c r="L55" s="27" t="str">
        <f>IFERROR(VLOOKUP($L$49,Octubre,3),"")</f>
        <v/>
      </c>
      <c r="M55" s="27" t="str">
        <f>IFERROR(VLOOKUP($M$49,Noviembre,3),"")</f>
        <v/>
      </c>
      <c r="N55" s="27" t="str">
        <f>IFERROR(VLOOKUP($N$49,Diciembre,3),"")</f>
        <v/>
      </c>
    </row>
    <row r="56" spans="2:15" x14ac:dyDescent="0.2">
      <c r="B56" s="28" t="s">
        <v>43</v>
      </c>
      <c r="C56" s="29" t="str">
        <f>IFERROR(C54+C55,"")</f>
        <v/>
      </c>
      <c r="D56" s="29" t="str">
        <f>IFERROR(D54+D55,"")</f>
        <v/>
      </c>
      <c r="E56" s="29" t="str">
        <f t="shared" ref="E56:N56" si="12">IFERROR(E54+E55,"")</f>
        <v/>
      </c>
      <c r="F56" s="29" t="str">
        <f>IFERROR(F54+F55,"")</f>
        <v/>
      </c>
      <c r="G56" s="29" t="str">
        <f t="shared" si="12"/>
        <v/>
      </c>
      <c r="H56" s="29" t="str">
        <f t="shared" si="12"/>
        <v/>
      </c>
      <c r="I56" s="29" t="str">
        <f>IFERROR(I54+I55,"")</f>
        <v/>
      </c>
      <c r="J56" s="29" t="str">
        <f>IFERROR(J54+J55,"")</f>
        <v/>
      </c>
      <c r="K56" s="29" t="str">
        <f t="shared" si="12"/>
        <v/>
      </c>
      <c r="L56" s="29" t="str">
        <f t="shared" si="12"/>
        <v/>
      </c>
      <c r="M56" s="29" t="str">
        <f>IFERROR(M54+M55,"")</f>
        <v/>
      </c>
      <c r="N56" s="29" t="str">
        <f t="shared" si="12"/>
        <v/>
      </c>
    </row>
    <row r="57" spans="2:15" x14ac:dyDescent="0.2">
      <c r="B57" s="26" t="s">
        <v>44</v>
      </c>
      <c r="C57" s="27"/>
      <c r="D57" s="27" t="str">
        <f>+C56</f>
        <v/>
      </c>
      <c r="E57" s="27" t="str">
        <f>+D56</f>
        <v/>
      </c>
      <c r="F57" s="27">
        <v>0</v>
      </c>
      <c r="G57" s="27" t="str">
        <f t="shared" ref="G57:L57" si="13">+F56</f>
        <v/>
      </c>
      <c r="H57" s="27" t="str">
        <f t="shared" si="13"/>
        <v/>
      </c>
      <c r="I57" s="27" t="str">
        <f t="shared" si="13"/>
        <v/>
      </c>
      <c r="J57" s="27" t="str">
        <f t="shared" si="13"/>
        <v/>
      </c>
      <c r="K57" s="27" t="str">
        <f t="shared" si="13"/>
        <v/>
      </c>
      <c r="L57" s="27" t="str">
        <f t="shared" si="13"/>
        <v/>
      </c>
      <c r="M57" s="27" t="str">
        <f>+L56</f>
        <v/>
      </c>
      <c r="N57" s="27" t="str">
        <f>+M56</f>
        <v/>
      </c>
      <c r="O57" s="66"/>
    </row>
    <row r="58" spans="2:15" x14ac:dyDescent="0.2">
      <c r="B58" s="28" t="s">
        <v>45</v>
      </c>
      <c r="C58" s="83" t="str">
        <f>IFERROR(C56-C57,"0")</f>
        <v>0</v>
      </c>
      <c r="D58" s="83">
        <v>0</v>
      </c>
      <c r="E58" s="83">
        <v>0</v>
      </c>
      <c r="F58" s="83" t="str">
        <f>IFERROR(F56-F57,"0")</f>
        <v>0</v>
      </c>
      <c r="G58" s="83" t="str">
        <f t="shared" ref="G58:N58" si="14">IFERROR(G56-G57,"0")</f>
        <v>0</v>
      </c>
      <c r="H58" s="83" t="str">
        <f t="shared" si="14"/>
        <v>0</v>
      </c>
      <c r="I58" s="83" t="str">
        <f t="shared" si="14"/>
        <v>0</v>
      </c>
      <c r="J58" s="83" t="str">
        <f t="shared" si="14"/>
        <v>0</v>
      </c>
      <c r="K58" s="83" t="str">
        <f>IFERROR(K56-K57,"0")</f>
        <v>0</v>
      </c>
      <c r="L58" s="83" t="str">
        <f t="shared" si="14"/>
        <v>0</v>
      </c>
      <c r="M58" s="83" t="str">
        <f t="shared" si="14"/>
        <v>0</v>
      </c>
      <c r="N58" s="83" t="str">
        <f t="shared" si="14"/>
        <v>0</v>
      </c>
      <c r="O58" s="66"/>
    </row>
    <row r="59" spans="2:15" x14ac:dyDescent="0.2">
      <c r="B59" s="78" t="s">
        <v>150</v>
      </c>
      <c r="C59" s="86"/>
      <c r="D59" s="86"/>
      <c r="E59" s="86">
        <v>0</v>
      </c>
      <c r="F59" s="86"/>
      <c r="G59" s="86"/>
      <c r="H59" s="86"/>
      <c r="I59" s="86"/>
      <c r="J59" s="86"/>
      <c r="K59" s="86"/>
      <c r="L59" s="86"/>
      <c r="M59" s="86"/>
      <c r="N59" s="86"/>
      <c r="O59" s="66"/>
    </row>
    <row r="60" spans="2:15" x14ac:dyDescent="0.2">
      <c r="B60" s="78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66"/>
    </row>
    <row r="61" spans="2:15" x14ac:dyDescent="0.2"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2:15" x14ac:dyDescent="0.2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15" x14ac:dyDescent="0.2">
      <c r="B63" s="13" t="s">
        <v>53</v>
      </c>
      <c r="C63" s="33">
        <f t="shared" ref="C63:D63" si="15">+C58-C59</f>
        <v>0</v>
      </c>
      <c r="D63" s="33">
        <f t="shared" si="15"/>
        <v>0</v>
      </c>
      <c r="E63" s="33">
        <f>+E58-E59</f>
        <v>0</v>
      </c>
      <c r="F63" s="33">
        <f>+F58-F59</f>
        <v>0</v>
      </c>
      <c r="G63" s="33">
        <f>+G58-G59</f>
        <v>0</v>
      </c>
      <c r="H63" s="33">
        <f t="shared" ref="H63:N63" si="16">+H58-H59</f>
        <v>0</v>
      </c>
      <c r="I63" s="33">
        <f t="shared" si="16"/>
        <v>0</v>
      </c>
      <c r="J63" s="33">
        <f t="shared" si="16"/>
        <v>0</v>
      </c>
      <c r="K63" s="33">
        <f>+K58-K59</f>
        <v>0</v>
      </c>
      <c r="L63" s="33">
        <f t="shared" si="16"/>
        <v>0</v>
      </c>
      <c r="M63" s="33">
        <f t="shared" si="16"/>
        <v>0</v>
      </c>
      <c r="N63" s="33">
        <f t="shared" si="16"/>
        <v>0</v>
      </c>
    </row>
    <row r="64" spans="2:15" x14ac:dyDescent="0.2">
      <c r="E64" s="34"/>
    </row>
    <row r="65" spans="3:14" x14ac:dyDescent="0.2">
      <c r="C65" s="34"/>
      <c r="E65" s="66"/>
      <c r="F65" s="34"/>
      <c r="G65" s="34"/>
      <c r="M65" s="34"/>
      <c r="N65" s="34">
        <f>+N63+'IVA '!N14</f>
        <v>0</v>
      </c>
    </row>
    <row r="66" spans="3:14" x14ac:dyDescent="0.2">
      <c r="E66" s="66"/>
      <c r="F66" s="34"/>
      <c r="I66" s="66"/>
      <c r="J66" s="66"/>
      <c r="K66" s="66"/>
      <c r="L66" s="66"/>
      <c r="M66" s="66"/>
      <c r="N66" s="66"/>
    </row>
    <row r="67" spans="3:14" x14ac:dyDescent="0.2">
      <c r="E67" s="66"/>
      <c r="I67" s="66"/>
      <c r="J67" s="66"/>
      <c r="K67" s="66"/>
      <c r="L67" s="66"/>
      <c r="M67" s="66"/>
      <c r="N67" s="66"/>
    </row>
    <row r="68" spans="3:14" x14ac:dyDescent="0.2">
      <c r="K68" s="34"/>
      <c r="L68" s="66"/>
    </row>
    <row r="69" spans="3:14" x14ac:dyDescent="0.2">
      <c r="L69" s="66"/>
    </row>
    <row r="70" spans="3:14" x14ac:dyDescent="0.2"/>
    <row r="71" spans="3:14" x14ac:dyDescent="0.2"/>
    <row r="72" spans="3:14" x14ac:dyDescent="0.2"/>
    <row r="73" spans="3:14" x14ac:dyDescent="0.2"/>
    <row r="74" spans="3:14" x14ac:dyDescent="0.2"/>
    <row r="75" spans="3:14" x14ac:dyDescent="0.2"/>
    <row r="76" spans="3:14" x14ac:dyDescent="0.2"/>
    <row r="77" spans="3:14" x14ac:dyDescent="0.2"/>
    <row r="78" spans="3:14" x14ac:dyDescent="0.2"/>
  </sheetData>
  <pageMargins left="0.25" right="0.25" top="0.75" bottom="0.75" header="0.3" footer="0.3"/>
  <pageSetup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"/>
  <sheetViews>
    <sheetView zoomScaleNormal="100" workbookViewId="0">
      <selection activeCell="C30" sqref="C30"/>
    </sheetView>
  </sheetViews>
  <sheetFormatPr baseColWidth="10" defaultColWidth="11.42578125" defaultRowHeight="0" customHeight="1" zeroHeight="1" x14ac:dyDescent="0.2"/>
  <cols>
    <col min="1" max="1" width="11.42578125" style="10"/>
    <col min="2" max="2" width="27.42578125" style="10" customWidth="1"/>
    <col min="3" max="3" width="13.5703125" style="10" customWidth="1"/>
    <col min="4" max="14" width="14.7109375" style="10" customWidth="1"/>
    <col min="15" max="15" width="0.5703125" style="10" customWidth="1"/>
    <col min="16" max="26" width="11.42578125" style="10" customWidth="1"/>
    <col min="27" max="16384" width="11.42578125" style="10"/>
  </cols>
  <sheetData>
    <row r="1" spans="1:19" ht="15.75" x14ac:dyDescent="0.25">
      <c r="A1" s="9"/>
      <c r="B1" s="9"/>
      <c r="I1" s="85"/>
    </row>
    <row r="2" spans="1:19" ht="15" x14ac:dyDescent="0.2">
      <c r="A2" s="11" t="s">
        <v>71</v>
      </c>
      <c r="B2" s="11"/>
      <c r="H2" s="66"/>
      <c r="J2" s="34"/>
    </row>
    <row r="3" spans="1:19" ht="15" x14ac:dyDescent="0.2">
      <c r="A3" s="11" t="s">
        <v>46</v>
      </c>
      <c r="E3" s="66"/>
      <c r="M3" s="34"/>
      <c r="N3" s="34"/>
    </row>
    <row r="4" spans="1:19" ht="15" x14ac:dyDescent="0.2">
      <c r="A4" s="11" t="s">
        <v>149</v>
      </c>
    </row>
    <row r="5" spans="1:19" ht="15" x14ac:dyDescent="0.2">
      <c r="A5" s="11" t="s">
        <v>152</v>
      </c>
      <c r="M5" s="34"/>
    </row>
    <row r="6" spans="1:19" ht="12.75" x14ac:dyDescent="0.2">
      <c r="B6" s="12"/>
    </row>
    <row r="7" spans="1:19" s="35" customFormat="1" ht="18.75" customHeight="1" x14ac:dyDescent="0.25">
      <c r="A7" s="13" t="s">
        <v>120</v>
      </c>
      <c r="B7" s="13" t="s">
        <v>34</v>
      </c>
      <c r="C7" s="13" t="s">
        <v>19</v>
      </c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3" t="s">
        <v>27</v>
      </c>
      <c r="L7" s="13" t="s">
        <v>28</v>
      </c>
      <c r="M7" s="13" t="s">
        <v>29</v>
      </c>
      <c r="N7" s="13" t="s">
        <v>30</v>
      </c>
    </row>
    <row r="8" spans="1:19" s="35" customFormat="1" ht="18.75" customHeight="1" x14ac:dyDescent="0.25">
      <c r="A8" s="36" t="s">
        <v>121</v>
      </c>
      <c r="B8" s="36" t="s">
        <v>47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9" s="35" customFormat="1" ht="18.75" customHeight="1" x14ac:dyDescent="0.25">
      <c r="A9" s="36" t="s">
        <v>122</v>
      </c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R9" s="35">
        <v>65000</v>
      </c>
      <c r="S9" s="35">
        <f>+R9*16%</f>
        <v>10400</v>
      </c>
    </row>
    <row r="10" spans="1:19" s="35" customFormat="1" ht="18.75" customHeight="1" x14ac:dyDescent="0.25">
      <c r="A10" s="36" t="s">
        <v>123</v>
      </c>
      <c r="B10" s="36" t="s">
        <v>49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9" s="35" customFormat="1" ht="18.75" customHeight="1" x14ac:dyDescent="0.25">
      <c r="A11" s="38"/>
      <c r="B11" s="38" t="s">
        <v>50</v>
      </c>
      <c r="C11" s="39">
        <f>IF(C8&gt;(C9+C10),(C8-C9-C10),0)</f>
        <v>0</v>
      </c>
      <c r="D11" s="39">
        <f t="shared" ref="D11:N11" si="0">IF(D8&gt;(D9+D10),(D8-D9-D10),0)</f>
        <v>0</v>
      </c>
      <c r="E11" s="39">
        <f t="shared" si="0"/>
        <v>0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>IF(L8&gt;(L9+L10),(L8-L9-L10),0)</f>
        <v>0</v>
      </c>
      <c r="M11" s="39">
        <f t="shared" si="0"/>
        <v>0</v>
      </c>
      <c r="N11" s="39">
        <f t="shared" si="0"/>
        <v>0</v>
      </c>
      <c r="Q11" s="76"/>
    </row>
    <row r="12" spans="1:19" s="35" customFormat="1" ht="18.75" customHeight="1" x14ac:dyDescent="0.2">
      <c r="A12" s="67" t="s">
        <v>125</v>
      </c>
      <c r="B12" s="36" t="s">
        <v>51</v>
      </c>
      <c r="C12" s="40"/>
      <c r="D12" s="41"/>
      <c r="E12" s="41"/>
      <c r="F12" s="41"/>
      <c r="G12" s="41"/>
      <c r="H12" s="41"/>
      <c r="I12" s="41"/>
      <c r="J12" s="41"/>
      <c r="K12" s="41"/>
      <c r="L12" s="80"/>
      <c r="M12" s="41"/>
      <c r="N12" s="41"/>
      <c r="P12" s="87">
        <f>SUM(C12:N12)</f>
        <v>0</v>
      </c>
    </row>
    <row r="13" spans="1:19" s="35" customFormat="1" ht="18.75" customHeight="1" x14ac:dyDescent="0.25">
      <c r="A13" s="67"/>
      <c r="B13" s="36" t="s">
        <v>144</v>
      </c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9" s="35" customFormat="1" ht="18.75" customHeight="1" x14ac:dyDescent="0.25">
      <c r="A14" s="67" t="s">
        <v>124</v>
      </c>
      <c r="B14" s="38" t="s">
        <v>52</v>
      </c>
      <c r="C14" s="39">
        <f>C11-C12</f>
        <v>0</v>
      </c>
      <c r="D14" s="39">
        <f>D11-D12</f>
        <v>0</v>
      </c>
      <c r="E14" s="39">
        <f>E11-E12</f>
        <v>0</v>
      </c>
      <c r="F14" s="39">
        <f>F11-F12+F13</f>
        <v>0</v>
      </c>
      <c r="G14" s="39">
        <f t="shared" ref="G14:N14" si="1">G11-G12+G13</f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  <c r="N14" s="39">
        <f t="shared" si="1"/>
        <v>0</v>
      </c>
    </row>
    <row r="15" spans="1:19" ht="3.75" customHeight="1" x14ac:dyDescent="0.2">
      <c r="B15" s="2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9" s="35" customFormat="1" ht="18.75" customHeight="1" x14ac:dyDescent="0.25">
      <c r="A16" s="67" t="s">
        <v>125</v>
      </c>
      <c r="B16" s="38" t="s">
        <v>54</v>
      </c>
      <c r="C16" s="39">
        <f>IF(C8&lt;(C9+C10),((C9+C10)-C8),0)</f>
        <v>0</v>
      </c>
      <c r="D16" s="39">
        <f>IF(D8&lt;(D9+D10),((D9+D10)-D8),0)</f>
        <v>0</v>
      </c>
      <c r="E16" s="39">
        <f t="shared" ref="E16:N16" si="2">IF(E8&lt;(E9+E10),((E9+E10)-E8),0)</f>
        <v>0</v>
      </c>
      <c r="F16" s="39">
        <f>IF(F8&lt;(F9+F10),((F9+F10)-F8),0)</f>
        <v>0</v>
      </c>
      <c r="G16" s="39">
        <f t="shared" si="2"/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39">
        <f t="shared" si="2"/>
        <v>0</v>
      </c>
      <c r="L16" s="39">
        <f t="shared" si="2"/>
        <v>0</v>
      </c>
      <c r="M16" s="39">
        <f t="shared" si="2"/>
        <v>0</v>
      </c>
      <c r="N16" s="39">
        <f t="shared" si="2"/>
        <v>0</v>
      </c>
      <c r="P16" s="87">
        <f>SUM(C16:N16)</f>
        <v>0</v>
      </c>
    </row>
    <row r="17" spans="2:17" ht="12.75" x14ac:dyDescent="0.2">
      <c r="B17" s="21"/>
      <c r="C17" s="21"/>
      <c r="D17" s="81"/>
      <c r="E17" s="21"/>
      <c r="F17" s="21"/>
      <c r="G17" s="16"/>
      <c r="H17" s="21"/>
      <c r="I17" s="21"/>
      <c r="J17" s="21"/>
      <c r="K17" s="21"/>
      <c r="L17" s="21"/>
      <c r="M17" s="21"/>
      <c r="N17" s="21"/>
      <c r="P17" s="82">
        <f>+P16-P12</f>
        <v>0</v>
      </c>
      <c r="Q17" s="10" t="s">
        <v>148</v>
      </c>
    </row>
    <row r="18" spans="2:17" ht="15" x14ac:dyDescent="0.25">
      <c r="B18" s="21"/>
      <c r="C18" s="16">
        <f>+C9/0.16</f>
        <v>0</v>
      </c>
      <c r="D18" s="16">
        <f>+D9/0.16</f>
        <v>0</v>
      </c>
      <c r="E18" s="77"/>
      <c r="F18" s="21"/>
      <c r="G18" s="16"/>
      <c r="H18" s="21"/>
      <c r="I18" s="21"/>
      <c r="J18" s="21"/>
      <c r="K18" s="21"/>
      <c r="L18" s="63"/>
      <c r="M18" s="63"/>
      <c r="N18" s="63"/>
    </row>
    <row r="19" spans="2:17" ht="12.75" customHeight="1" x14ac:dyDescent="0.25">
      <c r="B19" s="21"/>
      <c r="C19" s="21"/>
      <c r="D19" s="81"/>
      <c r="E19"/>
      <c r="F19" s="21"/>
      <c r="G19" s="16"/>
      <c r="H19" s="43"/>
      <c r="I19" s="21"/>
      <c r="J19" s="21"/>
      <c r="K19" s="21"/>
      <c r="L19" s="63"/>
      <c r="M19" s="63">
        <f>+M14+PISR!M63</f>
        <v>0</v>
      </c>
      <c r="N19" s="63"/>
    </row>
    <row r="20" spans="2:17" ht="12.75" customHeight="1" x14ac:dyDescent="0.25">
      <c r="B20" s="21"/>
      <c r="C20" s="21"/>
      <c r="D20" s="81"/>
      <c r="E20" s="77"/>
      <c r="F20" s="21"/>
      <c r="G20" s="16"/>
      <c r="H20" s="16"/>
      <c r="I20" s="21"/>
      <c r="J20" s="21"/>
      <c r="K20" s="21"/>
      <c r="L20" s="63"/>
      <c r="M20" s="63"/>
      <c r="N20" s="63"/>
    </row>
    <row r="21" spans="2:17" ht="12.75" customHeight="1" x14ac:dyDescent="0.25">
      <c r="B21" s="21"/>
      <c r="C21" s="21"/>
      <c r="D21" s="81"/>
      <c r="E21" s="77"/>
      <c r="F21" s="21"/>
      <c r="G21" s="16"/>
      <c r="H21" s="16"/>
      <c r="I21" s="21"/>
      <c r="J21" s="21"/>
      <c r="K21" s="21"/>
      <c r="L21" s="63"/>
      <c r="M21" s="63"/>
      <c r="N21" s="63"/>
    </row>
    <row r="22" spans="2:17" ht="12.75" customHeight="1" x14ac:dyDescent="0.25">
      <c r="B22" s="21"/>
      <c r="C22" s="21"/>
      <c r="D22" s="81"/>
      <c r="E22"/>
      <c r="F22" s="21"/>
      <c r="G22" s="21"/>
      <c r="H22" s="16"/>
      <c r="I22" s="21"/>
      <c r="J22" s="43"/>
      <c r="K22" s="21"/>
      <c r="L22" s="63"/>
      <c r="M22" s="63"/>
      <c r="N22" s="63"/>
    </row>
    <row r="23" spans="2:17" ht="12.75" customHeight="1" x14ac:dyDescent="0.2">
      <c r="D23" s="82"/>
      <c r="E23" s="69"/>
      <c r="H23" s="66"/>
    </row>
    <row r="24" spans="2:17" ht="12.75" customHeight="1" x14ac:dyDescent="0.25">
      <c r="E24" s="77"/>
      <c r="G24" s="82"/>
    </row>
    <row r="25" spans="2:17" ht="12.75" customHeight="1" x14ac:dyDescent="0.25">
      <c r="E25"/>
      <c r="K25" s="21"/>
      <c r="L25" s="62"/>
      <c r="M25" s="62"/>
      <c r="N25" s="62"/>
    </row>
    <row r="26" spans="2:17" ht="12.75" customHeight="1" x14ac:dyDescent="0.25">
      <c r="E26"/>
      <c r="G26" s="82"/>
      <c r="K26" s="21"/>
      <c r="L26" s="63"/>
      <c r="M26" s="63"/>
      <c r="N26" s="63"/>
    </row>
    <row r="27" spans="2:17" ht="12.75" customHeight="1" x14ac:dyDescent="0.2">
      <c r="K27" s="21"/>
      <c r="L27" s="63"/>
      <c r="M27" s="63"/>
      <c r="N27" s="63"/>
    </row>
    <row r="28" spans="2:17" ht="12.75" customHeight="1" x14ac:dyDescent="0.2">
      <c r="K28" s="21"/>
      <c r="L28" s="63"/>
      <c r="M28" s="63"/>
      <c r="N28" s="63"/>
    </row>
    <row r="29" spans="2:17" ht="12.75" customHeight="1" x14ac:dyDescent="0.2">
      <c r="K29" s="21"/>
      <c r="L29" s="63"/>
      <c r="M29" s="63"/>
      <c r="N29" s="63"/>
    </row>
    <row r="30" spans="2:17" ht="12.75" customHeight="1" x14ac:dyDescent="0.2">
      <c r="K30" s="21"/>
      <c r="L30" s="63"/>
      <c r="M30" s="63"/>
      <c r="N30" s="63"/>
    </row>
    <row r="31" spans="2:17" ht="12.75" customHeight="1" x14ac:dyDescent="0.2"/>
    <row r="32" spans="2:17" ht="12.75" customHeight="1" x14ac:dyDescent="0.2">
      <c r="M32" s="64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</sheetData>
  <sheetProtection selectLockedCells="1" selectUnlockedCells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workbookViewId="0">
      <selection activeCell="E20" sqref="E20"/>
    </sheetView>
  </sheetViews>
  <sheetFormatPr baseColWidth="10" defaultRowHeight="15" x14ac:dyDescent="0.25"/>
  <cols>
    <col min="1" max="1" width="14.5703125" bestFit="1" customWidth="1"/>
  </cols>
  <sheetData>
    <row r="2" spans="1:13" x14ac:dyDescent="0.25">
      <c r="C2" t="s">
        <v>145</v>
      </c>
    </row>
    <row r="4" spans="1:13" x14ac:dyDescent="0.25">
      <c r="B4" t="s">
        <v>139</v>
      </c>
      <c r="C4" t="s">
        <v>140</v>
      </c>
      <c r="D4" t="s">
        <v>146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t="s">
        <v>28</v>
      </c>
      <c r="L4" t="s">
        <v>29</v>
      </c>
      <c r="M4" t="s">
        <v>30</v>
      </c>
    </row>
    <row r="5" spans="1:13" x14ac:dyDescent="0.25">
      <c r="A5" t="s">
        <v>136</v>
      </c>
      <c r="B5" s="84">
        <f>+PISR!C63</f>
        <v>0</v>
      </c>
      <c r="C5" s="84"/>
      <c r="D5" s="84">
        <f>+PISR!E63</f>
        <v>0</v>
      </c>
      <c r="E5" s="84">
        <f>+PISR!F63</f>
        <v>0</v>
      </c>
      <c r="F5" s="84">
        <f>+PISR!G63</f>
        <v>0</v>
      </c>
      <c r="G5" s="84">
        <v>0</v>
      </c>
      <c r="H5" s="84"/>
      <c r="I5" s="84"/>
      <c r="J5" s="84"/>
      <c r="K5" s="84"/>
      <c r="L5" s="84"/>
      <c r="M5" s="84"/>
    </row>
    <row r="6" spans="1:13" x14ac:dyDescent="0.25">
      <c r="A6" t="s">
        <v>137</v>
      </c>
      <c r="B6" s="84">
        <f>+'IVA '!C14</f>
        <v>0</v>
      </c>
      <c r="C6" s="84">
        <v>0</v>
      </c>
      <c r="D6" s="84">
        <f>+'IVA '!E14</f>
        <v>0</v>
      </c>
      <c r="E6" s="84">
        <f>+'IVA '!F11</f>
        <v>0</v>
      </c>
      <c r="F6" s="84">
        <f>+'IVA '!G11</f>
        <v>0</v>
      </c>
      <c r="G6" s="84">
        <v>0</v>
      </c>
      <c r="H6" s="84">
        <f>+'IVA '!I14</f>
        <v>0</v>
      </c>
      <c r="I6" s="84">
        <f>+'IVA '!J14</f>
        <v>0</v>
      </c>
      <c r="J6" s="84">
        <f>+'IVA '!K14</f>
        <v>0</v>
      </c>
      <c r="K6" s="84">
        <f>+'IVA '!L14</f>
        <v>0</v>
      </c>
      <c r="L6" s="84">
        <f>+'IVA '!M14</f>
        <v>0</v>
      </c>
      <c r="M6" s="84">
        <f>+'IVA '!N14</f>
        <v>0</v>
      </c>
    </row>
    <row r="7" spans="1:13" x14ac:dyDescent="0.25">
      <c r="A7" t="s">
        <v>147</v>
      </c>
      <c r="B7" s="84">
        <f>+B5+B6</f>
        <v>0</v>
      </c>
      <c r="C7" s="84">
        <f t="shared" ref="C7:M7" si="0">+C5+C6</f>
        <v>0</v>
      </c>
      <c r="D7" s="84">
        <f t="shared" si="0"/>
        <v>0</v>
      </c>
      <c r="E7" s="84">
        <f t="shared" si="0"/>
        <v>0</v>
      </c>
      <c r="F7" s="84">
        <f t="shared" si="0"/>
        <v>0</v>
      </c>
      <c r="G7" s="84">
        <f t="shared" si="0"/>
        <v>0</v>
      </c>
      <c r="H7" s="84">
        <f t="shared" si="0"/>
        <v>0</v>
      </c>
      <c r="I7" s="84">
        <f t="shared" si="0"/>
        <v>0</v>
      </c>
      <c r="J7" s="84">
        <f t="shared" si="0"/>
        <v>0</v>
      </c>
      <c r="K7" s="84">
        <f t="shared" si="0"/>
        <v>0</v>
      </c>
      <c r="L7" s="84">
        <f t="shared" si="0"/>
        <v>0</v>
      </c>
      <c r="M7" s="84">
        <f t="shared" si="0"/>
        <v>0</v>
      </c>
    </row>
    <row r="9" spans="1:13" x14ac:dyDescent="0.25">
      <c r="D9" s="8"/>
    </row>
    <row r="10" spans="1:13" x14ac:dyDescent="0.25">
      <c r="D10" s="8"/>
    </row>
    <row r="12" spans="1:13" x14ac:dyDescent="0.25">
      <c r="C1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opLeftCell="C1" workbookViewId="0">
      <selection activeCell="E9" sqref="E9:L9"/>
    </sheetView>
  </sheetViews>
  <sheetFormatPr baseColWidth="10" defaultRowHeight="14.25" x14ac:dyDescent="0.2"/>
  <cols>
    <col min="1" max="1" width="14.5703125" style="47" customWidth="1"/>
    <col min="2" max="2" width="17.5703125" style="47" customWidth="1"/>
    <col min="3" max="3" width="15" style="47" customWidth="1"/>
    <col min="4" max="11" width="11.42578125" style="47"/>
    <col min="12" max="16" width="16" style="47" customWidth="1"/>
    <col min="17" max="16384" width="11.42578125" style="47"/>
  </cols>
  <sheetData>
    <row r="1" spans="1:17" ht="15.75" x14ac:dyDescent="0.25">
      <c r="A1" s="9" t="s">
        <v>64</v>
      </c>
    </row>
    <row r="2" spans="1:17" ht="13.5" customHeight="1" x14ac:dyDescent="0.2">
      <c r="A2" s="47" t="s">
        <v>65</v>
      </c>
    </row>
    <row r="3" spans="1:17" ht="13.5" customHeight="1" x14ac:dyDescent="0.2">
      <c r="A3" s="10" t="s">
        <v>66</v>
      </c>
    </row>
    <row r="4" spans="1:17" ht="13.5" customHeight="1" x14ac:dyDescent="0.2">
      <c r="A4" s="10" t="s">
        <v>67</v>
      </c>
    </row>
    <row r="5" spans="1:17" ht="13.5" customHeight="1" x14ac:dyDescent="0.2">
      <c r="A5" s="10"/>
    </row>
    <row r="6" spans="1:17" x14ac:dyDescent="0.2">
      <c r="A6" s="48" t="s">
        <v>55</v>
      </c>
      <c r="B6" s="48" t="s">
        <v>60</v>
      </c>
      <c r="C6" s="48" t="s">
        <v>62</v>
      </c>
      <c r="D6" s="48" t="s">
        <v>56</v>
      </c>
      <c r="E6" s="100" t="s">
        <v>57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48" t="s">
        <v>59</v>
      </c>
    </row>
    <row r="7" spans="1:17" x14ac:dyDescent="0.2">
      <c r="A7" s="49"/>
      <c r="B7" s="50" t="s">
        <v>61</v>
      </c>
      <c r="C7" s="50" t="s">
        <v>63</v>
      </c>
      <c r="D7" s="49"/>
      <c r="E7" s="51" t="s">
        <v>19</v>
      </c>
      <c r="F7" s="51" t="s">
        <v>20</v>
      </c>
      <c r="G7" s="51" t="s">
        <v>21</v>
      </c>
      <c r="H7" s="51" t="s">
        <v>22</v>
      </c>
      <c r="I7" s="51" t="s">
        <v>23</v>
      </c>
      <c r="J7" s="51" t="s">
        <v>24</v>
      </c>
      <c r="K7" s="51" t="s">
        <v>25</v>
      </c>
      <c r="L7" s="51" t="s">
        <v>26</v>
      </c>
      <c r="M7" s="45" t="s">
        <v>27</v>
      </c>
      <c r="N7" s="45" t="s">
        <v>28</v>
      </c>
      <c r="O7" s="45" t="s">
        <v>29</v>
      </c>
      <c r="P7" s="45" t="s">
        <v>30</v>
      </c>
      <c r="Q7" s="49"/>
    </row>
    <row r="8" spans="1:17" x14ac:dyDescent="0.2">
      <c r="A8" s="44" t="s">
        <v>19</v>
      </c>
      <c r="B8" s="44"/>
      <c r="C8" s="44"/>
      <c r="D8" s="52">
        <f>'IVA '!C16</f>
        <v>0</v>
      </c>
      <c r="E8" s="52"/>
      <c r="F8" s="52"/>
      <c r="G8" s="52"/>
      <c r="H8" s="52"/>
      <c r="I8" s="52"/>
      <c r="J8" s="52"/>
      <c r="K8" s="52"/>
      <c r="L8" s="52"/>
      <c r="M8" s="52"/>
      <c r="N8" s="44"/>
      <c r="O8" s="44"/>
      <c r="P8" s="44"/>
      <c r="Q8" s="53">
        <f>D8-SUM(E8:P8)</f>
        <v>0</v>
      </c>
    </row>
    <row r="9" spans="1:17" x14ac:dyDescent="0.2">
      <c r="A9" s="44" t="s">
        <v>20</v>
      </c>
      <c r="B9" s="44"/>
      <c r="C9" s="44"/>
      <c r="D9" s="52">
        <f>'IVA '!D16</f>
        <v>0</v>
      </c>
      <c r="E9" s="52"/>
      <c r="F9" s="52"/>
      <c r="G9" s="52"/>
      <c r="H9" s="52"/>
      <c r="I9" s="52"/>
      <c r="J9" s="52"/>
      <c r="K9" s="52"/>
      <c r="L9" s="60"/>
      <c r="M9" s="52"/>
      <c r="N9" s="44"/>
      <c r="O9" s="44"/>
      <c r="P9" s="44"/>
      <c r="Q9" s="53">
        <f t="shared" ref="Q9:Q19" si="0">D9-SUM(E9:P9)</f>
        <v>0</v>
      </c>
    </row>
    <row r="10" spans="1:17" x14ac:dyDescent="0.2">
      <c r="A10" s="44" t="s">
        <v>21</v>
      </c>
      <c r="B10" s="44"/>
      <c r="C10" s="44"/>
      <c r="D10" s="52">
        <f>'IVA '!E16</f>
        <v>0</v>
      </c>
      <c r="E10" s="52"/>
      <c r="F10" s="52"/>
      <c r="G10" s="52"/>
      <c r="H10" s="52"/>
      <c r="I10" s="52"/>
      <c r="J10" s="52"/>
      <c r="K10" s="52"/>
      <c r="L10" s="52">
        <v>69</v>
      </c>
      <c r="M10" s="52">
        <v>113</v>
      </c>
      <c r="N10" s="44">
        <v>147</v>
      </c>
      <c r="O10" s="44"/>
      <c r="P10" s="44">
        <v>17</v>
      </c>
      <c r="Q10" s="53">
        <f t="shared" si="0"/>
        <v>-346</v>
      </c>
    </row>
    <row r="11" spans="1:17" x14ac:dyDescent="0.2">
      <c r="A11" s="44" t="s">
        <v>22</v>
      </c>
      <c r="B11" s="44"/>
      <c r="C11" s="44"/>
      <c r="D11" s="52">
        <f>'IVA '!F16</f>
        <v>0</v>
      </c>
      <c r="E11" s="52"/>
      <c r="F11" s="52"/>
      <c r="G11" s="52"/>
      <c r="H11" s="52"/>
      <c r="I11" s="52"/>
      <c r="J11" s="52"/>
      <c r="K11" s="52"/>
      <c r="L11" s="52"/>
      <c r="M11" s="52">
        <v>0</v>
      </c>
      <c r="N11" s="44"/>
      <c r="O11" s="44"/>
      <c r="P11" s="44">
        <v>149</v>
      </c>
      <c r="Q11" s="53">
        <f t="shared" si="0"/>
        <v>-149</v>
      </c>
    </row>
    <row r="12" spans="1:17" x14ac:dyDescent="0.2">
      <c r="A12" s="44" t="s">
        <v>23</v>
      </c>
      <c r="B12" s="44"/>
      <c r="C12" s="44"/>
      <c r="D12" s="52">
        <f>'IVA '!G16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44"/>
      <c r="O12" s="44"/>
      <c r="P12" s="44">
        <v>159</v>
      </c>
      <c r="Q12" s="53">
        <f t="shared" si="0"/>
        <v>-159</v>
      </c>
    </row>
    <row r="13" spans="1:17" x14ac:dyDescent="0.2">
      <c r="A13" s="44" t="s">
        <v>24</v>
      </c>
      <c r="B13" s="44"/>
      <c r="C13" s="44"/>
      <c r="D13" s="52">
        <f>'IVA '!H16</f>
        <v>0</v>
      </c>
      <c r="E13" s="52"/>
      <c r="F13" s="52"/>
      <c r="G13" s="52"/>
      <c r="H13" s="52"/>
      <c r="I13" s="52"/>
      <c r="J13" s="52"/>
      <c r="K13" s="52"/>
      <c r="L13" s="52"/>
      <c r="M13" s="52"/>
      <c r="N13" s="44"/>
      <c r="O13" s="44"/>
      <c r="P13" s="44"/>
      <c r="Q13" s="53">
        <f t="shared" si="0"/>
        <v>0</v>
      </c>
    </row>
    <row r="14" spans="1:17" x14ac:dyDescent="0.2">
      <c r="A14" s="44" t="s">
        <v>25</v>
      </c>
      <c r="B14" s="44"/>
      <c r="C14" s="44"/>
      <c r="D14" s="52">
        <f>'IVA '!I16</f>
        <v>0</v>
      </c>
      <c r="E14" s="52"/>
      <c r="F14" s="52"/>
      <c r="G14" s="52"/>
      <c r="H14" s="52"/>
      <c r="I14" s="52"/>
      <c r="J14" s="52"/>
      <c r="K14" s="52"/>
      <c r="L14" s="52"/>
      <c r="M14" s="52"/>
      <c r="N14" s="44"/>
      <c r="O14" s="44"/>
      <c r="P14" s="44"/>
      <c r="Q14" s="53">
        <f t="shared" si="0"/>
        <v>0</v>
      </c>
    </row>
    <row r="15" spans="1:17" x14ac:dyDescent="0.2">
      <c r="A15" s="44" t="s">
        <v>26</v>
      </c>
      <c r="B15" s="44"/>
      <c r="C15" s="4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4"/>
      <c r="O15" s="44"/>
      <c r="P15" s="44"/>
      <c r="Q15" s="53">
        <f t="shared" si="0"/>
        <v>0</v>
      </c>
    </row>
    <row r="16" spans="1:17" x14ac:dyDescent="0.2">
      <c r="A16" s="44" t="s">
        <v>27</v>
      </c>
      <c r="B16" s="44"/>
      <c r="C16" s="44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4"/>
      <c r="O16" s="44"/>
      <c r="P16" s="44"/>
      <c r="Q16" s="53">
        <f t="shared" si="0"/>
        <v>0</v>
      </c>
    </row>
    <row r="17" spans="1:17" x14ac:dyDescent="0.2">
      <c r="A17" s="44" t="s">
        <v>28</v>
      </c>
      <c r="B17" s="44"/>
      <c r="C17" s="44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4"/>
      <c r="O17" s="44"/>
      <c r="P17" s="44"/>
      <c r="Q17" s="53">
        <f t="shared" si="0"/>
        <v>0</v>
      </c>
    </row>
    <row r="18" spans="1:17" x14ac:dyDescent="0.2">
      <c r="A18" s="44" t="s">
        <v>29</v>
      </c>
      <c r="B18" s="44"/>
      <c r="C18" s="4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4"/>
      <c r="O18" s="44"/>
      <c r="P18" s="44"/>
      <c r="Q18" s="53">
        <f t="shared" si="0"/>
        <v>0</v>
      </c>
    </row>
    <row r="19" spans="1:17" ht="15" thickBot="1" x14ac:dyDescent="0.25">
      <c r="A19" s="44" t="s">
        <v>30</v>
      </c>
      <c r="B19" s="54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3">
        <f t="shared" si="0"/>
        <v>0</v>
      </c>
    </row>
    <row r="20" spans="1:17" ht="15" thickBot="1" x14ac:dyDescent="0.25">
      <c r="A20" s="56" t="s">
        <v>58</v>
      </c>
      <c r="B20" s="57"/>
      <c r="C20" s="57"/>
      <c r="D20" s="58">
        <f>SUM(D8:D19)</f>
        <v>0</v>
      </c>
      <c r="E20" s="58"/>
      <c r="F20" s="58"/>
      <c r="G20" s="58"/>
      <c r="H20" s="58"/>
      <c r="I20" s="58"/>
      <c r="J20" s="58"/>
      <c r="K20" s="58"/>
      <c r="L20" s="58">
        <f>SUM(L8:L19)</f>
        <v>69</v>
      </c>
      <c r="M20" s="58">
        <f>SUM(M8:M19)</f>
        <v>113</v>
      </c>
      <c r="N20" s="58">
        <f>SUM(N8:N19)</f>
        <v>147</v>
      </c>
      <c r="O20" s="58"/>
      <c r="P20" s="58">
        <f>SUM(P8:P19)</f>
        <v>325</v>
      </c>
      <c r="Q20" s="58">
        <f>SUM(Q8:Q19)</f>
        <v>-654</v>
      </c>
    </row>
    <row r="21" spans="1:17" ht="15" thickTop="1" x14ac:dyDescent="0.2">
      <c r="A21" s="44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</sheetData>
  <mergeCells count="1">
    <mergeCell ref="E6:P6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"/>
  <sheetViews>
    <sheetView workbookViewId="0">
      <selection activeCell="E13" sqref="E13"/>
    </sheetView>
  </sheetViews>
  <sheetFormatPr baseColWidth="10" defaultRowHeight="15" x14ac:dyDescent="0.25"/>
  <cols>
    <col min="14" max="14" width="1.28515625" customWidth="1"/>
  </cols>
  <sheetData>
    <row r="1" spans="1:15" x14ac:dyDescent="0.25">
      <c r="A1" s="71" t="s">
        <v>138</v>
      </c>
      <c r="B1" s="71" t="s">
        <v>139</v>
      </c>
      <c r="C1" s="71" t="s">
        <v>140</v>
      </c>
      <c r="D1" s="71" t="s">
        <v>21</v>
      </c>
      <c r="E1" s="71" t="s">
        <v>22</v>
      </c>
      <c r="F1" s="71" t="s">
        <v>23</v>
      </c>
      <c r="G1" s="71" t="s">
        <v>24</v>
      </c>
      <c r="H1" s="71" t="s">
        <v>25</v>
      </c>
      <c r="I1" s="71" t="s">
        <v>26</v>
      </c>
      <c r="J1" s="71" t="s">
        <v>27</v>
      </c>
      <c r="K1" s="71" t="s">
        <v>28</v>
      </c>
      <c r="L1" s="71" t="s">
        <v>29</v>
      </c>
      <c r="M1" s="71" t="s">
        <v>30</v>
      </c>
      <c r="O1" s="73" t="s">
        <v>142</v>
      </c>
    </row>
    <row r="2" spans="1:15" x14ac:dyDescent="0.25">
      <c r="A2" s="70" t="s">
        <v>136</v>
      </c>
      <c r="B2" s="72">
        <f>+PISR!$C63</f>
        <v>0</v>
      </c>
      <c r="C2" s="72">
        <f>+PISR!$D63</f>
        <v>0</v>
      </c>
      <c r="D2" s="72">
        <f>+PISR!$D63</f>
        <v>0</v>
      </c>
      <c r="E2" s="72">
        <f>+PISR!$F63</f>
        <v>0</v>
      </c>
      <c r="F2" s="72">
        <f>+PISR!$G63</f>
        <v>0</v>
      </c>
      <c r="G2" s="72">
        <f>+PISR!$H63</f>
        <v>0</v>
      </c>
      <c r="H2" s="72">
        <f>+PISR!$I63</f>
        <v>0</v>
      </c>
      <c r="I2" s="72">
        <f>+PISR!$J63</f>
        <v>0</v>
      </c>
      <c r="J2" s="72">
        <f>+PISR!$K63</f>
        <v>0</v>
      </c>
      <c r="K2" s="72">
        <f>+PISR!$L63</f>
        <v>0</v>
      </c>
      <c r="L2" s="72">
        <f>+PISR!$M63</f>
        <v>0</v>
      </c>
      <c r="M2" s="72">
        <f>+PISR!$N63</f>
        <v>0</v>
      </c>
      <c r="O2" s="8">
        <f>SUM(B2:M2)</f>
        <v>0</v>
      </c>
    </row>
    <row r="3" spans="1:15" x14ac:dyDescent="0.25">
      <c r="A3" s="70" t="s">
        <v>137</v>
      </c>
      <c r="B3" s="72">
        <f>+'IVA '!$C14</f>
        <v>0</v>
      </c>
      <c r="C3" s="72">
        <f>+'IVA '!$D14</f>
        <v>0</v>
      </c>
      <c r="D3" s="72">
        <f>+'IVA '!$E14</f>
        <v>0</v>
      </c>
      <c r="E3" s="72">
        <f>+'IVA '!$F14</f>
        <v>0</v>
      </c>
      <c r="F3" s="72">
        <f>+'IVA '!$G14</f>
        <v>0</v>
      </c>
      <c r="G3" s="72">
        <f>+'IVA '!$H14</f>
        <v>0</v>
      </c>
      <c r="H3" s="72">
        <f>+'IVA '!$I14</f>
        <v>0</v>
      </c>
      <c r="I3" s="72">
        <f>+'IVA '!$J14</f>
        <v>0</v>
      </c>
      <c r="J3" s="72">
        <f>+'IVA '!$K14</f>
        <v>0</v>
      </c>
      <c r="K3" s="72">
        <f>+'IVA '!$L14</f>
        <v>0</v>
      </c>
      <c r="L3" s="72">
        <f>+'IVA '!$M14</f>
        <v>0</v>
      </c>
      <c r="M3" s="72">
        <f>+'IVA '!$N14</f>
        <v>0</v>
      </c>
      <c r="O3" s="8">
        <f>SUM(B3:M3)</f>
        <v>0</v>
      </c>
    </row>
    <row r="4" spans="1:15" x14ac:dyDescent="0.25">
      <c r="A4" s="71" t="s">
        <v>141</v>
      </c>
      <c r="B4" s="74">
        <f>+B2+B3</f>
        <v>0</v>
      </c>
      <c r="C4" s="74">
        <f t="shared" ref="C4:M4" si="0">+C2+C3</f>
        <v>0</v>
      </c>
      <c r="D4" s="74">
        <f t="shared" si="0"/>
        <v>0</v>
      </c>
      <c r="E4" s="74">
        <f t="shared" si="0"/>
        <v>0</v>
      </c>
      <c r="F4" s="74">
        <f t="shared" si="0"/>
        <v>0</v>
      </c>
      <c r="G4" s="74">
        <f t="shared" si="0"/>
        <v>0</v>
      </c>
      <c r="H4" s="74">
        <f t="shared" si="0"/>
        <v>0</v>
      </c>
      <c r="I4" s="74">
        <f t="shared" si="0"/>
        <v>0</v>
      </c>
      <c r="J4" s="74">
        <f t="shared" si="0"/>
        <v>0</v>
      </c>
      <c r="K4" s="74">
        <f t="shared" si="0"/>
        <v>0</v>
      </c>
      <c r="L4" s="74">
        <f t="shared" si="0"/>
        <v>0</v>
      </c>
      <c r="M4" s="74">
        <f t="shared" si="0"/>
        <v>0</v>
      </c>
      <c r="O4" s="75">
        <f>+O2+O3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Tarifas</vt:lpstr>
      <vt:lpstr>PISR</vt:lpstr>
      <vt:lpstr>IVA </vt:lpstr>
      <vt:lpstr>Resumen </vt:lpstr>
      <vt:lpstr>Control IVA a Favor</vt:lpstr>
      <vt:lpstr>Impuesto a pagar  por mes </vt:lpstr>
      <vt:lpstr>Abril</vt:lpstr>
      <vt:lpstr>Agosto</vt:lpstr>
      <vt:lpstr>Diciembre</vt:lpstr>
      <vt:lpstr>Enero</vt:lpstr>
      <vt:lpstr>Febrero</vt:lpstr>
      <vt:lpstr>Julio</vt:lpstr>
      <vt:lpstr>Junio</vt:lpstr>
      <vt:lpstr>Marzo</vt:lpstr>
      <vt:lpstr>Mayo</vt:lpstr>
      <vt:lpstr>Noviembre</vt:lpstr>
      <vt:lpstr>Octubre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</cp:lastModifiedBy>
  <cp:lastPrinted>2016-02-09T01:17:41Z</cp:lastPrinted>
  <dcterms:created xsi:type="dcterms:W3CDTF">2014-11-07T00:34:21Z</dcterms:created>
  <dcterms:modified xsi:type="dcterms:W3CDTF">2025-05-10T01:53:28Z</dcterms:modified>
</cp:coreProperties>
</file>